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firstSheet="4" activeTab="5"/>
  </bookViews>
  <sheets>
    <sheet name="MMC - 9016" sheetId="1" r:id="rId1"/>
    <sheet name="Služební kynologie - 9017" sheetId="2" r:id="rId2"/>
    <sheet name="Silniční doprava - 9018" sheetId="3" r:id="rId3"/>
    <sheet name="Dopravní a pořádková - 9019" sheetId="4" r:id="rId4"/>
    <sheet name="Potírání kriminality" sheetId="5" r:id="rId5"/>
    <sheet name="Portál pro kriz.situaci - 9037" sheetId="6" r:id="rId6"/>
    <sheet name="Hlídková - Loď - 0339" sheetId="7" r:id="rId7"/>
  </sheets>
  <definedNames/>
  <calcPr calcMode="manual" fullCalcOnLoad="1"/>
</workbook>
</file>

<file path=xl/sharedStrings.xml><?xml version="1.0" encoding="utf-8"?>
<sst xmlns="http://schemas.openxmlformats.org/spreadsheetml/2006/main" count="551" uniqueCount="177">
  <si>
    <t>Mobilní monitorovací centrum 100012402, 214113_9016</t>
  </si>
  <si>
    <t>podkapitola</t>
  </si>
  <si>
    <t>Název plnění</t>
  </si>
  <si>
    <t>Rozpočet v EUR</t>
  </si>
  <si>
    <t>Kap. 2                                        Cestovní náklady</t>
  </si>
  <si>
    <t>Celkem</t>
  </si>
  <si>
    <t>cesty do SRN k řípravě projektové žádosti</t>
  </si>
  <si>
    <t>kapesné pro PČR na cvičení v SRN (1 x ročně)</t>
  </si>
  <si>
    <t>odhad - kapesné pro PČR na společné nasazení v SRN</t>
  </si>
  <si>
    <t>Kap. 3                                        Věcné výdaje</t>
  </si>
  <si>
    <t>Nákup 3 ks GPS navigace</t>
  </si>
  <si>
    <t>Nákup 2 ks mobilních telefonů s připojením na internet</t>
  </si>
  <si>
    <t>Nákup dobíjecích baterií</t>
  </si>
  <si>
    <t>Nabíječ k bateriím</t>
  </si>
  <si>
    <t>multimédia nosiče (DVD, CD, mini DVD)</t>
  </si>
  <si>
    <t>Kap. 4                                        Výdaje na publicitu</t>
  </si>
  <si>
    <t>Kap. 6                                        Služby poskytované třetími subjekty</t>
  </si>
  <si>
    <t>Kap. 7                                        Investiční výdaje</t>
  </si>
  <si>
    <t>Celkem za projekt</t>
  </si>
  <si>
    <t>zhotovení 1 000 informačních letáků pro veřejnost</t>
  </si>
  <si>
    <t>inzerce v médiích o uskutečnění projektu</t>
  </si>
  <si>
    <t>Přijetí 104 pol. SRN na 3 cvičení (1x ročně, strava)</t>
  </si>
  <si>
    <t>Přijetí - porady managementu v ČR (1x ročně, strava)</t>
  </si>
  <si>
    <t>odhad - společné nasazení pol. SRN v ČR (4x ročně, strava)</t>
  </si>
  <si>
    <t>Zůstatek               v Kč</t>
  </si>
  <si>
    <t>Zůstatek           v EUR</t>
  </si>
  <si>
    <t>Kč</t>
  </si>
  <si>
    <t>EUR</t>
  </si>
  <si>
    <t>Rozpočet              v Kč</t>
  </si>
  <si>
    <t>Čerpání</t>
  </si>
  <si>
    <t>Celkem               v Kč</t>
  </si>
  <si>
    <t>Celkem         v EUR</t>
  </si>
  <si>
    <t>Služební kynologie 100012391, 214113_9017</t>
  </si>
  <si>
    <t>kapesné pro PČR na cvičení v SRN (13,5 dne, 13 pol.)</t>
  </si>
  <si>
    <t>kapesné pro PČR na společné nasazení v SRN (6x, 12 pol.)</t>
  </si>
  <si>
    <t>Nákup 3 ks mobilních telefonů s připojením na internet</t>
  </si>
  <si>
    <t>Nálup 3 ks foto na dokumentaci a zajištění věcí</t>
  </si>
  <si>
    <t>Nákup výcvikových rukávů, postrojů na stopu, ochran. manžety</t>
  </si>
  <si>
    <t>strava a ubytování PČR a SRN na výcviku v ČR (3,5 dne)</t>
  </si>
  <si>
    <t>strava a ubytování PČR a SRN při společných nasazeních v ČR</t>
  </si>
  <si>
    <t>občerstvení tiskových konferencí</t>
  </si>
  <si>
    <t>Silniční doprava 100012401, 214113_9018</t>
  </si>
  <si>
    <t>výkon společných hlídek v SRN (+ kapesné)</t>
  </si>
  <si>
    <t>Hospitace pol. ČR v SRN</t>
  </si>
  <si>
    <t>Nákup přenosných halogenových svítidel</t>
  </si>
  <si>
    <t>6.2.1</t>
  </si>
  <si>
    <t>6.6.1</t>
  </si>
  <si>
    <t>6.6.2</t>
  </si>
  <si>
    <t>6.6.3</t>
  </si>
  <si>
    <t>Jazykový kurz pro 42 pol. DI Chomutov - 2 skupiny (360 hod)</t>
  </si>
  <si>
    <t>občerstvení na průběžné vyhodnocení</t>
  </si>
  <si>
    <t>tisková konference po skončení projektu</t>
  </si>
  <si>
    <t>občerstvení pro pol. na společném školení (4x v ČR, 20 účast)</t>
  </si>
  <si>
    <t>Dopravní a pořádková policie 100013692, 214113_9019</t>
  </si>
  <si>
    <t>Grémium DP (6 pol. v SRN)</t>
  </si>
  <si>
    <t>Hospitace DP v SRN ( 3 dny)</t>
  </si>
  <si>
    <t>Společné hlídky DP ( hlídka 2 pol.)</t>
  </si>
  <si>
    <t>Společné hlídky PP ( hlídka 2 pol.)</t>
  </si>
  <si>
    <t>Školení DP ( 3 pol 2 dny)</t>
  </si>
  <si>
    <t>Nákup kapesních přejkladačů (30 ks)</t>
  </si>
  <si>
    <t>3.4.1</t>
  </si>
  <si>
    <t>3.5.1</t>
  </si>
  <si>
    <t>Nákup pomůcek pro jazykový kurz ( 5 pol.)</t>
  </si>
  <si>
    <t>Jazykový kurz NJ pro 15 pol. Děčín (2 x kurz)</t>
  </si>
  <si>
    <t>občerstvení pro pol.na poradě VO (3x v ČR, 12 účast)</t>
  </si>
  <si>
    <t>Odborný seminář ved. prac. (3,5 dne 10 pol. ČR, 10 pol. SRN)</t>
  </si>
  <si>
    <t>Společný výcvik služ. kynologie (3,5 dne 10 pol. ČR, 10 pol. SRN)</t>
  </si>
  <si>
    <t>6.6.4</t>
  </si>
  <si>
    <t>Grémium DP (6 pol. ČR , 9 pol. SRN) 3x</t>
  </si>
  <si>
    <t>6.6.5</t>
  </si>
  <si>
    <t>Občerstvení na zahájení, průběh a ukončení projektu</t>
  </si>
  <si>
    <t>Kurz AJ pol. účast v SRN</t>
  </si>
  <si>
    <t>bude doplaceno v roce 2010</t>
  </si>
  <si>
    <t>neuznáno 837,- (doplatek v Kč)</t>
  </si>
  <si>
    <t>Potírání kriminality 100013423</t>
  </si>
  <si>
    <t>Účast na jednání při zahájení a ukončení projektu ( 2 x 4 pol.)</t>
  </si>
  <si>
    <t>Účast na grémiu DP (6 pol 1 x čtvrtletně)</t>
  </si>
  <si>
    <t>Jazykový kurz AJ pro (3 x 5 policistů)</t>
  </si>
  <si>
    <t>Společná cvičení (3 x 9 policistů)</t>
  </si>
  <si>
    <t>Nákup pomůcek pro jazykový kurz AJ ( 5 pol.)</t>
  </si>
  <si>
    <t>zhotovení 500 informačních letáků pro veřejnost</t>
  </si>
  <si>
    <t>Grémium DP (5 x 12 pol)</t>
  </si>
  <si>
    <t>Školení policistů (3 x 5 policistů)</t>
  </si>
  <si>
    <r>
      <t xml:space="preserve">Evaluace (1 x 12 policistů)  </t>
    </r>
    <r>
      <rPr>
        <i/>
        <sz val="9"/>
        <rFont val="Arial"/>
        <family val="2"/>
      </rPr>
      <t>skupina pro hodnocení  projektu</t>
    </r>
  </si>
  <si>
    <t xml:space="preserve">              </t>
  </si>
  <si>
    <t>Samostatné stroje a zařízení - nákup speciálního vozidla</t>
  </si>
  <si>
    <t>občerstvení na průběh hodnocení projektů v ČR</t>
  </si>
  <si>
    <t>cesty do SRN k přípravě projektové žádosti</t>
  </si>
  <si>
    <t>3.3.5</t>
  </si>
  <si>
    <t>Kancelářský materiál (513912 - 132 000,- Kč)</t>
  </si>
  <si>
    <t>Výdaje na publicictu (513910 - 299 000,- Kč)</t>
  </si>
  <si>
    <t>Zahraniční cesty (517320 - 66 000,- Kč)</t>
  </si>
  <si>
    <t>Výdaje na experty a poradce (516630 - 124 000,- Kč</t>
  </si>
  <si>
    <t xml:space="preserve">                                                516700 -   25 000,- Kč)</t>
  </si>
  <si>
    <r>
      <t xml:space="preserve">                                                </t>
    </r>
    <r>
      <rPr>
        <b/>
        <sz val="11"/>
        <rFont val="Arial"/>
        <family val="2"/>
      </rPr>
      <t>celkem = 149 000,- Kč</t>
    </r>
  </si>
  <si>
    <t>Catering (517500 - 61 000,- Kč)</t>
  </si>
  <si>
    <t>7.3.2</t>
  </si>
  <si>
    <t>Nákup smaostatných movitých věcí (investice)</t>
  </si>
  <si>
    <t xml:space="preserve">                                             612500 - 2 813 000,- Kč)</t>
  </si>
  <si>
    <r>
      <t xml:space="preserve">                                            </t>
    </r>
    <r>
      <rPr>
        <b/>
        <sz val="11"/>
        <rFont val="Arial"/>
        <family val="2"/>
      </rPr>
      <t>celkem = 8 293 000,- Kč</t>
    </r>
  </si>
  <si>
    <t xml:space="preserve"> </t>
  </si>
  <si>
    <t>z toho:                                 (612206 - 5 480 000,- Kč</t>
  </si>
  <si>
    <t>Hospitace PP v SRN ( 7 dnů 1 pol.)</t>
  </si>
  <si>
    <t>7.3.1.</t>
  </si>
  <si>
    <t>7.3.2.</t>
  </si>
  <si>
    <t>Cesty do zahraničí - kapesné (4 akce v SN, 11 dní, 32 pol.)</t>
  </si>
  <si>
    <t>Cesty do zahr.- stravné a kapesné (společ. výkon služby v SN)</t>
  </si>
  <si>
    <t>Tuzem. cest. náhrady (stravné a ubyt. na kurzu NJ, vždy pro 6 pol.)</t>
  </si>
  <si>
    <t>Tuzem. cest. náhrady (stravné na školeních a cvičeních 10 dnů, 40 pol.)</t>
  </si>
  <si>
    <t>Výroba propagačních předmětů</t>
  </si>
  <si>
    <t>Inzerce</t>
  </si>
  <si>
    <t>Propagační tabule ziel3 - cíl3</t>
  </si>
  <si>
    <t>Výdaje na experty - kurz NJ (2x 14 denní, vždy pro 6 pol)</t>
  </si>
  <si>
    <t>6.2.2</t>
  </si>
  <si>
    <t>Výdaje na experty - školení nové tech. a práv. norem (2 denní, pro 28 pol)</t>
  </si>
  <si>
    <t>6.4.1</t>
  </si>
  <si>
    <t>Nájem sálu na závěrečnou konferenci</t>
  </si>
  <si>
    <t>Školení právních norem v ČR (2x 2 denní, po 10ti SN - strava a ubyt.)</t>
  </si>
  <si>
    <t>Školení k používání nové techniky (2 denní, po 10ti SN - strava a ubyt.)</t>
  </si>
  <si>
    <t>Společné cvičení (2x 2 denní, po 20ti osobách SN - strava a ubyt.)</t>
  </si>
  <si>
    <t>Závěrečná konference k ukončení projektu (1 denní, 20 osob SN - strava)</t>
  </si>
  <si>
    <t>Nákup inv. vybavení - osobní terénní automobil + spec. příslušenství</t>
  </si>
  <si>
    <t>Nákup inv. vybavení - loď + spec. příslušenství</t>
  </si>
  <si>
    <t xml:space="preserve">7.3.3. </t>
  </si>
  <si>
    <t>Nákup inv. vybavení - vlek</t>
  </si>
  <si>
    <t>vlastní prostředky KRPUK</t>
  </si>
  <si>
    <t xml:space="preserve">podíl 85% - dotace z EU </t>
  </si>
  <si>
    <t xml:space="preserve">podíl 15% - financování ze SR </t>
  </si>
  <si>
    <t>propalecená dotace (85%) z banky Dresden</t>
  </si>
  <si>
    <t>Společná hlídková činnost při krizových situacích 100057900, 114113_0339</t>
  </si>
  <si>
    <t>Celkem                     v EUR</t>
  </si>
  <si>
    <t>Celkem                         v EUR</t>
  </si>
  <si>
    <t>zhotovení reklamních předmětů se symbolikou ERDF</t>
  </si>
  <si>
    <t>Dle projektu</t>
  </si>
  <si>
    <r>
      <t xml:space="preserve">Celkem za projekt                                      </t>
    </r>
    <r>
      <rPr>
        <b/>
        <i/>
        <sz val="9"/>
        <rFont val="Arial"/>
        <family val="2"/>
      </rPr>
      <t>(pouze NIV)</t>
    </r>
  </si>
  <si>
    <r>
      <t xml:space="preserve">Zůstatek             </t>
    </r>
    <r>
      <rPr>
        <i/>
        <sz val="9"/>
        <rFont val="Arial"/>
        <family val="2"/>
      </rPr>
      <t xml:space="preserve"> (k rozpočtu KŘP Úsk) </t>
    </r>
    <r>
      <rPr>
        <sz val="12"/>
        <rFont val="Arial"/>
        <family val="2"/>
      </rPr>
      <t xml:space="preserve">                 v Kč </t>
    </r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</si>
  <si>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</si>
  <si>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</si>
  <si>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</si>
  <si>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</si>
  <si>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</si>
  <si>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</si>
  <si>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</si>
  <si>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</si>
  <si>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</si>
  <si>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</si>
  <si>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</si>
  <si>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</si>
  <si>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</si>
  <si>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</si>
  <si>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</si>
  <si>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</si>
  <si>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4.3</t>
  </si>
  <si>
    <t>4.4</t>
  </si>
  <si>
    <t>4.5</t>
  </si>
  <si>
    <t>4.6</t>
  </si>
  <si>
    <t>4.7</t>
  </si>
  <si>
    <t>6.1</t>
  </si>
  <si>
    <t>6.2</t>
  </si>
  <si>
    <t>6.3</t>
  </si>
  <si>
    <t>6.4</t>
  </si>
  <si>
    <t>6.5</t>
  </si>
  <si>
    <t>6.6</t>
  </si>
  <si>
    <t>6.7</t>
  </si>
  <si>
    <t>7.1</t>
  </si>
  <si>
    <r>
      <rPr>
        <b/>
        <sz val="11"/>
        <rFont val="Arial"/>
        <family val="2"/>
      </rPr>
      <t>Rozpočet KŘP Úsk</t>
    </r>
    <r>
      <rPr>
        <sz val="11"/>
        <rFont val="Arial"/>
        <family val="2"/>
      </rPr>
      <t xml:space="preserve">                         v Kč</t>
    </r>
  </si>
  <si>
    <t>7.2</t>
  </si>
  <si>
    <t>7.3</t>
  </si>
  <si>
    <t>7.4</t>
  </si>
  <si>
    <t>7.5</t>
  </si>
  <si>
    <t>7.6</t>
  </si>
  <si>
    <t>7.7</t>
  </si>
  <si>
    <t>Portál pro informační podporu při rozhodování za krizových situací 100011487, 214111_9037  (období realizace 1.11.2008 - 30.9.2013)</t>
  </si>
  <si>
    <t>7.3.1</t>
  </si>
  <si>
    <r>
      <t xml:space="preserve">Neinvestiční výdaje vázané k investičnímu programu      </t>
    </r>
    <r>
      <rPr>
        <b/>
        <i/>
        <sz val="10"/>
        <rFont val="Arial"/>
        <family val="2"/>
      </rPr>
      <t xml:space="preserve">  (kapitola 2, 3, 4, 6)</t>
    </r>
  </si>
  <si>
    <r>
      <t xml:space="preserve">Investiční výdaje                                              </t>
    </r>
    <r>
      <rPr>
        <b/>
        <i/>
        <sz val="10"/>
        <rFont val="Arial"/>
        <family val="2"/>
      </rPr>
      <t xml:space="preserve">                   (kapitola 7)</t>
    </r>
  </si>
  <si>
    <r>
      <t xml:space="preserve">Investiční výdaje                                                </t>
    </r>
    <r>
      <rPr>
        <b/>
        <i/>
        <sz val="10"/>
        <rFont val="Arial"/>
        <family val="2"/>
      </rPr>
      <t xml:space="preserve">                   (kapitola 7)</t>
    </r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</si>
</sst>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\ &quot;Kč&quot;"/>
    <numFmt numFmtId="166" formatCode="#,##0.00_ ;[Red]\-#,##0.00\ "/>
    <numFmt numFmtId="167" formatCode="#,##0.00;[Red]#,##0.00"/>
    <numFmt numFmtId="168" formatCode="[$-405]d\.\ mmmm\ yyyy"/>
    <numFmt numFmtId="169" formatCode="d/m/yy;@"/>
    <numFmt numFmtId="170" formatCode="0000"/>
    <numFmt numFmtId="171" formatCode="#,##0.000"/>
    <numFmt numFmtId="172" formatCode="#,##0_ ;[Red]\-#,##0\ "/>
    <numFmt numFmtId="173" formatCode="0.00_ ;[Red]\-0.00\ "/>
    <numFmt numFmtId="174" formatCode="0.00;[Red]0.00"/>
    <numFmt numFmtId="175" formatCode="0,000"/>
    <numFmt numFmtId="176" formatCode="0,000.\-"/>
    <numFmt numFmtId="177" formatCode="\ 000.\-"/>
    <numFmt numFmtId="178" formatCode="#,##0.00_ ;\-#,##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\ ##,000_);[Red]\([$€-2]\ #\ ##,000\)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3"/>
      <name val="Goudy Old Style"/>
      <family val="1"/>
    </font>
    <font>
      <sz val="13"/>
      <name val="Goudy Old Style"/>
      <family val="1"/>
    </font>
    <font>
      <b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5" fillId="0" borderId="0" xfId="0" applyFont="1" applyAlignment="1">
      <alignment/>
    </xf>
    <xf numFmtId="16" fontId="5" fillId="0" borderId="10" xfId="0" applyNumberFormat="1" applyFont="1" applyBorder="1" applyAlignment="1">
      <alignment horizontal="left"/>
    </xf>
    <xf numFmtId="16" fontId="5" fillId="0" borderId="11" xfId="0" applyNumberFormat="1" applyFont="1" applyBorder="1" applyAlignment="1">
      <alignment horizontal="left"/>
    </xf>
    <xf numFmtId="16" fontId="5" fillId="0" borderId="12" xfId="0" applyNumberFormat="1" applyFont="1" applyBorder="1" applyAlignment="1">
      <alignment horizontal="left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>
      <alignment/>
    </xf>
    <xf numFmtId="178" fontId="5" fillId="0" borderId="15" xfId="0" applyNumberFormat="1" applyFont="1" applyBorder="1" applyAlignment="1">
      <alignment/>
    </xf>
    <xf numFmtId="178" fontId="5" fillId="0" borderId="16" xfId="0" applyNumberFormat="1" applyFont="1" applyBorder="1" applyAlignment="1">
      <alignment/>
    </xf>
    <xf numFmtId="178" fontId="5" fillId="0" borderId="17" xfId="0" applyNumberFormat="1" applyFont="1" applyBorder="1" applyAlignment="1">
      <alignment/>
    </xf>
    <xf numFmtId="178" fontId="5" fillId="0" borderId="18" xfId="0" applyNumberFormat="1" applyFont="1" applyBorder="1" applyAlignment="1">
      <alignment/>
    </xf>
    <xf numFmtId="178" fontId="5" fillId="0" borderId="19" xfId="0" applyNumberFormat="1" applyFont="1" applyBorder="1" applyAlignment="1">
      <alignment/>
    </xf>
    <xf numFmtId="178" fontId="5" fillId="0" borderId="20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4" xfId="0" applyFont="1" applyBorder="1" applyAlignment="1">
      <alignment/>
    </xf>
    <xf numFmtId="0" fontId="54" fillId="0" borderId="19" xfId="0" applyFont="1" applyBorder="1" applyAlignment="1">
      <alignment/>
    </xf>
    <xf numFmtId="178" fontId="5" fillId="0" borderId="25" xfId="0" applyNumberFormat="1" applyFont="1" applyBorder="1" applyAlignment="1">
      <alignment/>
    </xf>
    <xf numFmtId="178" fontId="5" fillId="0" borderId="26" xfId="0" applyNumberFormat="1" applyFont="1" applyBorder="1" applyAlignment="1">
      <alignment/>
    </xf>
    <xf numFmtId="178" fontId="5" fillId="0" borderId="27" xfId="0" applyNumberFormat="1" applyFont="1" applyBorder="1" applyAlignment="1">
      <alignment/>
    </xf>
    <xf numFmtId="178" fontId="5" fillId="0" borderId="28" xfId="0" applyNumberFormat="1" applyFont="1" applyBorder="1" applyAlignment="1">
      <alignment/>
    </xf>
    <xf numFmtId="178" fontId="5" fillId="0" borderId="29" xfId="0" applyNumberFormat="1" applyFont="1" applyBorder="1" applyAlignment="1">
      <alignment/>
    </xf>
    <xf numFmtId="178" fontId="5" fillId="0" borderId="30" xfId="0" applyNumberFormat="1" applyFont="1" applyBorder="1" applyAlignment="1">
      <alignment/>
    </xf>
    <xf numFmtId="178" fontId="5" fillId="0" borderId="31" xfId="0" applyNumberFormat="1" applyFont="1" applyBorder="1" applyAlignment="1">
      <alignment/>
    </xf>
    <xf numFmtId="178" fontId="5" fillId="0" borderId="32" xfId="0" applyNumberFormat="1" applyFont="1" applyBorder="1" applyAlignment="1">
      <alignment/>
    </xf>
    <xf numFmtId="178" fontId="54" fillId="0" borderId="30" xfId="0" applyNumberFormat="1" applyFont="1" applyBorder="1" applyAlignment="1">
      <alignment/>
    </xf>
    <xf numFmtId="178" fontId="5" fillId="0" borderId="33" xfId="0" applyNumberFormat="1" applyFont="1" applyBorder="1" applyAlignment="1">
      <alignment/>
    </xf>
    <xf numFmtId="178" fontId="4" fillId="0" borderId="32" xfId="0" applyNumberFormat="1" applyFont="1" applyBorder="1" applyAlignment="1">
      <alignment/>
    </xf>
    <xf numFmtId="0" fontId="5" fillId="0" borderId="34" xfId="0" applyFont="1" applyBorder="1" applyAlignment="1">
      <alignment/>
    </xf>
    <xf numFmtId="178" fontId="5" fillId="0" borderId="13" xfId="0" applyNumberFormat="1" applyFont="1" applyBorder="1" applyAlignment="1">
      <alignment/>
    </xf>
    <xf numFmtId="178" fontId="5" fillId="0" borderId="35" xfId="0" applyNumberFormat="1" applyFont="1" applyBorder="1" applyAlignment="1">
      <alignment vertical="center" wrapText="1"/>
    </xf>
    <xf numFmtId="178" fontId="5" fillId="0" borderId="15" xfId="0" applyNumberFormat="1" applyFont="1" applyBorder="1" applyAlignment="1">
      <alignment vertical="center" wrapText="1"/>
    </xf>
    <xf numFmtId="1" fontId="5" fillId="0" borderId="11" xfId="0" applyNumberFormat="1" applyFont="1" applyBorder="1" applyAlignment="1">
      <alignment horizontal="left"/>
    </xf>
    <xf numFmtId="1" fontId="5" fillId="0" borderId="12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0" fillId="0" borderId="0" xfId="0" applyFont="1" applyAlignment="1">
      <alignment/>
    </xf>
    <xf numFmtId="178" fontId="4" fillId="0" borderId="33" xfId="0" applyNumberFormat="1" applyFont="1" applyBorder="1" applyAlignment="1">
      <alignment/>
    </xf>
    <xf numFmtId="178" fontId="4" fillId="0" borderId="13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36" xfId="0" applyNumberFormat="1" applyFont="1" applyBorder="1" applyAlignment="1">
      <alignment/>
    </xf>
    <xf numFmtId="178" fontId="9" fillId="0" borderId="30" xfId="0" applyNumberFormat="1" applyFont="1" applyBorder="1" applyAlignment="1">
      <alignment/>
    </xf>
    <xf numFmtId="0" fontId="10" fillId="0" borderId="19" xfId="0" applyFont="1" applyBorder="1" applyAlignment="1">
      <alignment/>
    </xf>
    <xf numFmtId="178" fontId="55" fillId="0" borderId="30" xfId="0" applyNumberFormat="1" applyFont="1" applyBorder="1" applyAlignment="1">
      <alignment/>
    </xf>
    <xf numFmtId="178" fontId="10" fillId="0" borderId="30" xfId="0" applyNumberFormat="1" applyFont="1" applyBorder="1" applyAlignment="1">
      <alignment/>
    </xf>
    <xf numFmtId="178" fontId="10" fillId="0" borderId="26" xfId="0" applyNumberFormat="1" applyFont="1" applyBorder="1" applyAlignment="1">
      <alignment/>
    </xf>
    <xf numFmtId="178" fontId="10" fillId="0" borderId="15" xfId="0" applyNumberFormat="1" applyFont="1" applyBorder="1" applyAlignment="1">
      <alignment/>
    </xf>
    <xf numFmtId="178" fontId="10" fillId="0" borderId="19" xfId="0" applyNumberFormat="1" applyFont="1" applyBorder="1" applyAlignment="1">
      <alignment/>
    </xf>
    <xf numFmtId="178" fontId="10" fillId="0" borderId="29" xfId="0" applyNumberFormat="1" applyFont="1" applyBorder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/>
    </xf>
    <xf numFmtId="178" fontId="54" fillId="0" borderId="26" xfId="0" applyNumberFormat="1" applyFont="1" applyBorder="1" applyAlignment="1">
      <alignment/>
    </xf>
    <xf numFmtId="178" fontId="56" fillId="0" borderId="30" xfId="0" applyNumberFormat="1" applyFont="1" applyBorder="1" applyAlignment="1">
      <alignment/>
    </xf>
    <xf numFmtId="0" fontId="54" fillId="0" borderId="19" xfId="0" applyFont="1" applyBorder="1" applyAlignment="1">
      <alignment horizontal="right"/>
    </xf>
    <xf numFmtId="4" fontId="9" fillId="0" borderId="32" xfId="0" applyNumberFormat="1" applyFont="1" applyBorder="1" applyAlignment="1">
      <alignment/>
    </xf>
    <xf numFmtId="4" fontId="11" fillId="0" borderId="32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33" xfId="0" applyNumberFormat="1" applyFont="1" applyBorder="1" applyAlignment="1">
      <alignment/>
    </xf>
    <xf numFmtId="178" fontId="9" fillId="0" borderId="37" xfId="0" applyNumberFormat="1" applyFont="1" applyBorder="1" applyAlignment="1">
      <alignment/>
    </xf>
    <xf numFmtId="4" fontId="12" fillId="0" borderId="38" xfId="0" applyNumberFormat="1" applyFont="1" applyBorder="1" applyAlignment="1">
      <alignment/>
    </xf>
    <xf numFmtId="178" fontId="13" fillId="0" borderId="38" xfId="0" applyNumberFormat="1" applyFont="1" applyBorder="1" applyAlignment="1">
      <alignment/>
    </xf>
    <xf numFmtId="178" fontId="13" fillId="0" borderId="39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38" xfId="0" applyNumberFormat="1" applyFont="1" applyBorder="1" applyAlignment="1">
      <alignment/>
    </xf>
    <xf numFmtId="178" fontId="9" fillId="0" borderId="40" xfId="0" applyNumberFormat="1" applyFont="1" applyBorder="1" applyAlignment="1">
      <alignment/>
    </xf>
    <xf numFmtId="0" fontId="14" fillId="0" borderId="0" xfId="0" applyFont="1" applyAlignment="1">
      <alignment/>
    </xf>
    <xf numFmtId="178" fontId="14" fillId="0" borderId="0" xfId="0" applyNumberFormat="1" applyFont="1" applyAlignment="1">
      <alignment/>
    </xf>
    <xf numFmtId="49" fontId="5" fillId="0" borderId="11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13" xfId="0" applyNumberFormat="1" applyFont="1" applyBorder="1" applyAlignment="1">
      <alignment horizontal="center"/>
    </xf>
    <xf numFmtId="0" fontId="12" fillId="0" borderId="41" xfId="0" applyFont="1" applyBorder="1" applyAlignment="1">
      <alignment horizontal="right"/>
    </xf>
    <xf numFmtId="0" fontId="12" fillId="0" borderId="42" xfId="0" applyFont="1" applyBorder="1" applyAlignment="1">
      <alignment horizontal="right"/>
    </xf>
    <xf numFmtId="0" fontId="12" fillId="0" borderId="43" xfId="0" applyFont="1" applyBorder="1" applyAlignment="1">
      <alignment horizontal="right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1" fillId="0" borderId="44" xfId="0" applyFont="1" applyBorder="1" applyAlignment="1">
      <alignment horizontal="left"/>
    </xf>
    <xf numFmtId="0" fontId="11" fillId="0" borderId="45" xfId="0" applyFont="1" applyBorder="1" applyAlignment="1">
      <alignment horizontal="left"/>
    </xf>
    <xf numFmtId="0" fontId="11" fillId="0" borderId="47" xfId="0" applyFont="1" applyBorder="1" applyAlignment="1">
      <alignment horizontal="left"/>
    </xf>
    <xf numFmtId="0" fontId="11" fillId="0" borderId="48" xfId="0" applyFont="1" applyBorder="1" applyAlignment="1">
      <alignment horizontal="left"/>
    </xf>
    <xf numFmtId="0" fontId="11" fillId="0" borderId="49" xfId="0" applyFont="1" applyBorder="1" applyAlignment="1">
      <alignment horizontal="left"/>
    </xf>
    <xf numFmtId="0" fontId="11" fillId="0" borderId="50" xfId="0" applyFont="1" applyBorder="1" applyAlignment="1">
      <alignment horizontal="left"/>
    </xf>
    <xf numFmtId="0" fontId="5" fillId="0" borderId="4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4" fillId="0" borderId="33" xfId="0" applyFont="1" applyBorder="1" applyAlignment="1">
      <alignment horizontal="center" wrapText="1"/>
    </xf>
    <xf numFmtId="0" fontId="4" fillId="0" borderId="37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178" fontId="5" fillId="0" borderId="35" xfId="0" applyNumberFormat="1" applyFont="1" applyBorder="1" applyAlignment="1">
      <alignment horizontal="center" vertical="center"/>
    </xf>
    <xf numFmtId="178" fontId="5" fillId="0" borderId="1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37" xfId="0" applyFont="1" applyBorder="1" applyAlignment="1">
      <alignment horizontal="center" wrapText="1"/>
    </xf>
    <xf numFmtId="0" fontId="3" fillId="0" borderId="4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3" fillId="0" borderId="44" xfId="0" applyFont="1" applyBorder="1" applyAlignment="1">
      <alignment horizontal="right"/>
    </xf>
    <xf numFmtId="0" fontId="3" fillId="0" borderId="45" xfId="0" applyFont="1" applyBorder="1" applyAlignment="1">
      <alignment horizontal="right"/>
    </xf>
    <xf numFmtId="0" fontId="3" fillId="0" borderId="47" xfId="0" applyFont="1" applyBorder="1" applyAlignment="1">
      <alignment horizontal="right"/>
    </xf>
    <xf numFmtId="0" fontId="14" fillId="0" borderId="54" xfId="0" applyFont="1" applyBorder="1" applyAlignment="1">
      <alignment horizontal="left" wrapText="1"/>
    </xf>
    <xf numFmtId="0" fontId="14" fillId="0" borderId="55" xfId="0" applyFont="1" applyBorder="1" applyAlignment="1">
      <alignment horizontal="left" wrapText="1"/>
    </xf>
    <xf numFmtId="178" fontId="0" fillId="0" borderId="55" xfId="0" applyNumberFormat="1" applyBorder="1" applyAlignment="1">
      <alignment/>
    </xf>
    <xf numFmtId="0" fontId="0" fillId="0" borderId="55" xfId="0" applyBorder="1" applyAlignment="1">
      <alignment/>
    </xf>
    <xf numFmtId="178" fontId="0" fillId="0" borderId="56" xfId="0" applyNumberFormat="1" applyBorder="1" applyAlignment="1">
      <alignment/>
    </xf>
    <xf numFmtId="0" fontId="14" fillId="0" borderId="57" xfId="0" applyFont="1" applyBorder="1" applyAlignment="1">
      <alignment horizontal="left" wrapText="1"/>
    </xf>
    <xf numFmtId="0" fontId="14" fillId="0" borderId="58" xfId="0" applyFont="1" applyBorder="1" applyAlignment="1">
      <alignment horizontal="left" wrapText="1"/>
    </xf>
    <xf numFmtId="178" fontId="0" fillId="0" borderId="58" xfId="0" applyNumberFormat="1" applyBorder="1" applyAlignment="1">
      <alignment/>
    </xf>
    <xf numFmtId="178" fontId="0" fillId="0" borderId="59" xfId="0" applyNumberFormat="1" applyBorder="1" applyAlignment="1">
      <alignment/>
    </xf>
    <xf numFmtId="178" fontId="0" fillId="0" borderId="60" xfId="0" applyNumberFormat="1" applyBorder="1" applyAlignment="1">
      <alignment/>
    </xf>
    <xf numFmtId="178" fontId="0" fillId="0" borderId="61" xfId="0" applyNumberFormat="1" applyBorder="1" applyAlignment="1">
      <alignment/>
    </xf>
    <xf numFmtId="0" fontId="14" fillId="0" borderId="56" xfId="0" applyFont="1" applyBorder="1" applyAlignment="1">
      <alignment horizontal="left" wrapText="1"/>
    </xf>
    <xf numFmtId="0" fontId="14" fillId="0" borderId="59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zoomScalePageLayoutView="0" workbookViewId="0" topLeftCell="A1">
      <pane xSplit="4" ySplit="4" topLeftCell="Q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50" sqref="C50:T51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57.7109375" style="0" customWidth="1"/>
    <col min="5" max="5" width="18.8515625" style="0" customWidth="1"/>
    <col min="6" max="6" width="16.00390625" style="0" customWidth="1"/>
    <col min="7" max="7" width="13.7109375" style="0" customWidth="1"/>
    <col min="8" max="8" width="15.57421875" style="0" customWidth="1"/>
    <col min="9" max="9" width="13.7109375" style="0" customWidth="1"/>
    <col min="10" max="10" width="13.8515625" style="0" customWidth="1"/>
    <col min="11" max="13" width="13.7109375" style="0" customWidth="1"/>
    <col min="14" max="15" width="13.7109375" style="0" hidden="1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7109375" style="0" customWidth="1"/>
  </cols>
  <sheetData>
    <row r="1" spans="2:18" ht="26.25" customHeight="1" thickBot="1">
      <c r="B1" s="100" t="s">
        <v>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131</v>
      </c>
      <c r="R2" s="94" t="s">
        <v>133</v>
      </c>
      <c r="S2" s="95"/>
      <c r="T2" s="91" t="s">
        <v>135</v>
      </c>
    </row>
    <row r="3" spans="2:20" ht="20.25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6</v>
      </c>
      <c r="E5" s="26">
        <v>4500</v>
      </c>
      <c r="F5" s="26">
        <f>G5*25</f>
        <v>4500</v>
      </c>
      <c r="G5" s="26">
        <v>180</v>
      </c>
      <c r="H5" s="22"/>
      <c r="I5" s="6"/>
      <c r="J5" s="6"/>
      <c r="K5" s="6"/>
      <c r="L5" s="6"/>
      <c r="M5" s="6"/>
      <c r="N5" s="6"/>
      <c r="O5" s="10"/>
      <c r="P5" s="26">
        <f aca="true" t="shared" si="0" ref="P5:Q7">H5+J5+L5+N5</f>
        <v>0</v>
      </c>
      <c r="Q5" s="26">
        <f t="shared" si="0"/>
        <v>0</v>
      </c>
      <c r="R5" s="26">
        <f aca="true" t="shared" si="1" ref="R5:S7">F5-P5</f>
        <v>4500</v>
      </c>
      <c r="S5" s="26">
        <f t="shared" si="1"/>
        <v>180</v>
      </c>
      <c r="T5" s="26">
        <f>E5-P5</f>
        <v>4500</v>
      </c>
    </row>
    <row r="6" spans="2:20" ht="14.25">
      <c r="B6" s="80"/>
      <c r="C6" s="39" t="s">
        <v>137</v>
      </c>
      <c r="D6" s="18" t="s">
        <v>7</v>
      </c>
      <c r="E6" s="27">
        <v>141750</v>
      </c>
      <c r="F6" s="27">
        <f>G6*25</f>
        <v>141750</v>
      </c>
      <c r="G6" s="27">
        <v>5670</v>
      </c>
      <c r="H6" s="23"/>
      <c r="I6" s="7"/>
      <c r="J6" s="7"/>
      <c r="K6" s="7"/>
      <c r="L6" s="7"/>
      <c r="M6" s="7"/>
      <c r="N6" s="7"/>
      <c r="O6" s="11"/>
      <c r="P6" s="26">
        <f t="shared" si="0"/>
        <v>0</v>
      </c>
      <c r="Q6" s="26">
        <f t="shared" si="0"/>
        <v>0</v>
      </c>
      <c r="R6" s="26">
        <f t="shared" si="1"/>
        <v>141750</v>
      </c>
      <c r="S6" s="26">
        <f t="shared" si="1"/>
        <v>5670</v>
      </c>
      <c r="T6" s="26">
        <f>E6-P6</f>
        <v>141750</v>
      </c>
    </row>
    <row r="7" spans="2:20" ht="14.25">
      <c r="B7" s="80"/>
      <c r="C7" s="39" t="s">
        <v>138</v>
      </c>
      <c r="D7" s="18" t="s">
        <v>8</v>
      </c>
      <c r="E7" s="27">
        <v>24750</v>
      </c>
      <c r="F7" s="27">
        <f>G7*25</f>
        <v>24750</v>
      </c>
      <c r="G7" s="27">
        <v>990</v>
      </c>
      <c r="H7" s="23"/>
      <c r="I7" s="7"/>
      <c r="J7" s="7"/>
      <c r="K7" s="7"/>
      <c r="L7" s="7"/>
      <c r="M7" s="7"/>
      <c r="N7" s="7"/>
      <c r="O7" s="11"/>
      <c r="P7" s="26">
        <f t="shared" si="0"/>
        <v>0</v>
      </c>
      <c r="Q7" s="26">
        <f t="shared" si="0"/>
        <v>0</v>
      </c>
      <c r="R7" s="26">
        <f t="shared" si="1"/>
        <v>24750</v>
      </c>
      <c r="S7" s="26">
        <f t="shared" si="1"/>
        <v>990</v>
      </c>
      <c r="T7" s="26">
        <f>E7-P7</f>
        <v>24750</v>
      </c>
    </row>
    <row r="8" spans="2:20" ht="14.25">
      <c r="B8" s="80"/>
      <c r="C8" s="39" t="s">
        <v>139</v>
      </c>
      <c r="D8" s="18"/>
      <c r="E8" s="27"/>
      <c r="F8" s="27"/>
      <c r="G8" s="27"/>
      <c r="H8" s="23"/>
      <c r="I8" s="7"/>
      <c r="J8" s="7"/>
      <c r="K8" s="7"/>
      <c r="L8" s="7"/>
      <c r="M8" s="7"/>
      <c r="N8" s="7"/>
      <c r="O8" s="11"/>
      <c r="P8" s="27"/>
      <c r="Q8" s="27"/>
      <c r="R8" s="27"/>
      <c r="S8" s="27"/>
      <c r="T8" s="27"/>
    </row>
    <row r="9" spans="2:20" ht="14.25">
      <c r="B9" s="80"/>
      <c r="C9" s="39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7"/>
    </row>
    <row r="10" spans="2:20" ht="14.25">
      <c r="B10" s="80"/>
      <c r="C10" s="39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7"/>
    </row>
    <row r="11" spans="2:20" ht="15" thickBot="1">
      <c r="B11" s="80"/>
      <c r="C11" s="39" t="s">
        <v>142</v>
      </c>
      <c r="D11" s="19"/>
      <c r="E11" s="28"/>
      <c r="F11" s="28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8"/>
    </row>
    <row r="12" spans="2:20" ht="15" thickBot="1">
      <c r="B12" s="81"/>
      <c r="C12" s="16" t="s">
        <v>5</v>
      </c>
      <c r="D12" s="20"/>
      <c r="E12" s="29">
        <f>SUM(E5:E11)</f>
        <v>171000</v>
      </c>
      <c r="F12" s="29">
        <f aca="true" t="shared" si="2" ref="F12:T12">SUM(F5:F11)</f>
        <v>171000</v>
      </c>
      <c r="G12" s="29">
        <f t="shared" si="2"/>
        <v>6840</v>
      </c>
      <c r="H12" s="25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29">
        <f t="shared" si="2"/>
        <v>0</v>
      </c>
      <c r="Q12" s="29">
        <f t="shared" si="2"/>
        <v>0</v>
      </c>
      <c r="R12" s="29">
        <f t="shared" si="2"/>
        <v>171000</v>
      </c>
      <c r="S12" s="29">
        <f t="shared" si="2"/>
        <v>6840</v>
      </c>
      <c r="T12" s="29">
        <f t="shared" si="2"/>
        <v>171000</v>
      </c>
    </row>
    <row r="13" spans="2:20" ht="14.25" customHeight="1">
      <c r="B13" s="79" t="s">
        <v>9</v>
      </c>
      <c r="C13" s="39" t="s">
        <v>143</v>
      </c>
      <c r="D13" s="17" t="s">
        <v>10</v>
      </c>
      <c r="E13" s="26">
        <v>10000</v>
      </c>
      <c r="F13" s="26">
        <f>G13*25</f>
        <v>10000</v>
      </c>
      <c r="G13" s="26">
        <v>400</v>
      </c>
      <c r="H13" s="22">
        <v>9400</v>
      </c>
      <c r="I13" s="6">
        <v>358.34</v>
      </c>
      <c r="J13" s="6"/>
      <c r="K13" s="6"/>
      <c r="L13" s="6"/>
      <c r="M13" s="6"/>
      <c r="N13" s="6"/>
      <c r="O13" s="10"/>
      <c r="P13" s="26">
        <f>H13+J13+L13+N13</f>
        <v>9400</v>
      </c>
      <c r="Q13" s="26">
        <f>I13+K13+M13+O13</f>
        <v>358.34</v>
      </c>
      <c r="R13" s="26">
        <f>F13-P13</f>
        <v>600</v>
      </c>
      <c r="S13" s="26">
        <f>G13-Q13</f>
        <v>41.660000000000025</v>
      </c>
      <c r="T13" s="26">
        <f>E13-P13</f>
        <v>600</v>
      </c>
    </row>
    <row r="14" spans="2:20" ht="14.25">
      <c r="B14" s="80"/>
      <c r="C14" s="39" t="s">
        <v>144</v>
      </c>
      <c r="D14" s="18" t="s">
        <v>11</v>
      </c>
      <c r="E14" s="27">
        <v>20000</v>
      </c>
      <c r="F14" s="27">
        <f>G14*25</f>
        <v>20000</v>
      </c>
      <c r="G14" s="27">
        <v>800</v>
      </c>
      <c r="H14" s="23">
        <v>18800</v>
      </c>
      <c r="I14" s="7">
        <v>716.68</v>
      </c>
      <c r="J14" s="7"/>
      <c r="K14" s="7"/>
      <c r="L14" s="7"/>
      <c r="M14" s="7"/>
      <c r="N14" s="7"/>
      <c r="O14" s="11"/>
      <c r="P14" s="26">
        <f aca="true" t="shared" si="3" ref="P14:Q17">H14+J14+L14+N14</f>
        <v>18800</v>
      </c>
      <c r="Q14" s="26">
        <f t="shared" si="3"/>
        <v>716.68</v>
      </c>
      <c r="R14" s="26">
        <f aca="true" t="shared" si="4" ref="R14:S17">F14-P14</f>
        <v>1200</v>
      </c>
      <c r="S14" s="26">
        <f t="shared" si="4"/>
        <v>83.32000000000005</v>
      </c>
      <c r="T14" s="26">
        <f>E14-P14</f>
        <v>1200</v>
      </c>
    </row>
    <row r="15" spans="2:20" ht="14.25">
      <c r="B15" s="80"/>
      <c r="C15" s="39" t="s">
        <v>145</v>
      </c>
      <c r="D15" s="18" t="s">
        <v>12</v>
      </c>
      <c r="E15" s="27">
        <v>2000</v>
      </c>
      <c r="F15" s="27">
        <f>G15*25</f>
        <v>1875</v>
      </c>
      <c r="G15" s="27">
        <v>75</v>
      </c>
      <c r="H15" s="23">
        <v>1623.15</v>
      </c>
      <c r="I15" s="7">
        <v>61.88</v>
      </c>
      <c r="J15" s="7"/>
      <c r="K15" s="7"/>
      <c r="L15" s="7"/>
      <c r="M15" s="7"/>
      <c r="N15" s="7"/>
      <c r="O15" s="11"/>
      <c r="P15" s="26">
        <f t="shared" si="3"/>
        <v>1623.15</v>
      </c>
      <c r="Q15" s="26">
        <f t="shared" si="3"/>
        <v>61.88</v>
      </c>
      <c r="R15" s="26">
        <f t="shared" si="4"/>
        <v>251.8499999999999</v>
      </c>
      <c r="S15" s="26">
        <f t="shared" si="4"/>
        <v>13.119999999999997</v>
      </c>
      <c r="T15" s="26">
        <f>E15-P15</f>
        <v>376.8499999999999</v>
      </c>
    </row>
    <row r="16" spans="2:20" ht="14.25">
      <c r="B16" s="80"/>
      <c r="C16" s="39" t="s">
        <v>146</v>
      </c>
      <c r="D16" s="18" t="s">
        <v>13</v>
      </c>
      <c r="E16" s="27">
        <v>500</v>
      </c>
      <c r="F16" s="27">
        <f>G16*25</f>
        <v>500</v>
      </c>
      <c r="G16" s="27">
        <v>20</v>
      </c>
      <c r="H16" s="23">
        <v>498.5</v>
      </c>
      <c r="I16" s="7">
        <v>19</v>
      </c>
      <c r="J16" s="7"/>
      <c r="K16" s="7"/>
      <c r="L16" s="7"/>
      <c r="M16" s="7"/>
      <c r="N16" s="7"/>
      <c r="O16" s="11"/>
      <c r="P16" s="26">
        <f t="shared" si="3"/>
        <v>498.5</v>
      </c>
      <c r="Q16" s="26">
        <f t="shared" si="3"/>
        <v>19</v>
      </c>
      <c r="R16" s="26">
        <f t="shared" si="4"/>
        <v>1.5</v>
      </c>
      <c r="S16" s="26">
        <f t="shared" si="4"/>
        <v>1</v>
      </c>
      <c r="T16" s="26">
        <f>E16-P16</f>
        <v>1.5</v>
      </c>
    </row>
    <row r="17" spans="2:20" ht="14.25">
      <c r="B17" s="80"/>
      <c r="C17" s="39" t="s">
        <v>147</v>
      </c>
      <c r="D17" s="18" t="s">
        <v>14</v>
      </c>
      <c r="E17" s="27">
        <v>2500</v>
      </c>
      <c r="F17" s="27">
        <f>G17*25</f>
        <v>2500</v>
      </c>
      <c r="G17" s="27">
        <v>100</v>
      </c>
      <c r="H17" s="23">
        <v>2489.85</v>
      </c>
      <c r="I17" s="7">
        <v>94.91</v>
      </c>
      <c r="J17" s="7"/>
      <c r="K17" s="7"/>
      <c r="L17" s="7"/>
      <c r="M17" s="7"/>
      <c r="N17" s="7"/>
      <c r="O17" s="11"/>
      <c r="P17" s="26">
        <f t="shared" si="3"/>
        <v>2489.85</v>
      </c>
      <c r="Q17" s="26">
        <f t="shared" si="3"/>
        <v>94.91</v>
      </c>
      <c r="R17" s="26">
        <f t="shared" si="4"/>
        <v>10.150000000000091</v>
      </c>
      <c r="S17" s="26">
        <f t="shared" si="4"/>
        <v>5.090000000000003</v>
      </c>
      <c r="T17" s="26">
        <f>E17-P17</f>
        <v>10.150000000000091</v>
      </c>
    </row>
    <row r="18" spans="2:20" ht="14.25">
      <c r="B18" s="80"/>
      <c r="C18" s="39" t="s">
        <v>148</v>
      </c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39" t="s">
        <v>149</v>
      </c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8"/>
    </row>
    <row r="20" spans="2:20" ht="15" thickBot="1">
      <c r="B20" s="81"/>
      <c r="C20" s="16" t="s">
        <v>5</v>
      </c>
      <c r="D20" s="20"/>
      <c r="E20" s="29">
        <f>SUM(E13:E19)</f>
        <v>35000</v>
      </c>
      <c r="F20" s="29">
        <f aca="true" t="shared" si="5" ref="F20:T20">SUM(F13:F19)</f>
        <v>34875</v>
      </c>
      <c r="G20" s="29">
        <f t="shared" si="5"/>
        <v>1395</v>
      </c>
      <c r="H20" s="25">
        <f t="shared" si="5"/>
        <v>32811.5</v>
      </c>
      <c r="I20" s="9">
        <f t="shared" si="5"/>
        <v>1250.8100000000002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29">
        <f t="shared" si="5"/>
        <v>32811.5</v>
      </c>
      <c r="Q20" s="29">
        <f t="shared" si="5"/>
        <v>1250.8100000000002</v>
      </c>
      <c r="R20" s="29">
        <f t="shared" si="5"/>
        <v>2063.5</v>
      </c>
      <c r="S20" s="29">
        <f t="shared" si="5"/>
        <v>144.19000000000008</v>
      </c>
      <c r="T20" s="29">
        <f t="shared" si="5"/>
        <v>2188.5</v>
      </c>
    </row>
    <row r="21" spans="2:20" ht="14.25">
      <c r="B21" s="79" t="s">
        <v>15</v>
      </c>
      <c r="C21" s="39" t="s">
        <v>150</v>
      </c>
      <c r="D21" s="17" t="s">
        <v>19</v>
      </c>
      <c r="E21" s="26">
        <v>25000</v>
      </c>
      <c r="F21" s="26">
        <f>G21*25</f>
        <v>25000</v>
      </c>
      <c r="G21" s="26">
        <v>1000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6" ref="P21:Q23">H21+J21+L21+N21</f>
        <v>0</v>
      </c>
      <c r="Q21" s="26">
        <f t="shared" si="6"/>
        <v>0</v>
      </c>
      <c r="R21" s="26">
        <f aca="true" t="shared" si="7" ref="R21:S23">F21-P21</f>
        <v>25000</v>
      </c>
      <c r="S21" s="26">
        <f t="shared" si="7"/>
        <v>1000</v>
      </c>
      <c r="T21" s="26">
        <f>E21-P21</f>
        <v>25000</v>
      </c>
    </row>
    <row r="22" spans="2:20" ht="14.25">
      <c r="B22" s="80"/>
      <c r="C22" s="39" t="s">
        <v>151</v>
      </c>
      <c r="D22" s="18" t="s">
        <v>20</v>
      </c>
      <c r="E22" s="27">
        <v>12500</v>
      </c>
      <c r="F22" s="27">
        <f>G22*25</f>
        <v>12500</v>
      </c>
      <c r="G22" s="27">
        <v>500</v>
      </c>
      <c r="H22" s="23"/>
      <c r="I22" s="7"/>
      <c r="J22" s="7"/>
      <c r="K22" s="7"/>
      <c r="L22" s="7"/>
      <c r="M22" s="7"/>
      <c r="N22" s="7"/>
      <c r="O22" s="11"/>
      <c r="P22" s="26">
        <f t="shared" si="6"/>
        <v>0</v>
      </c>
      <c r="Q22" s="26">
        <f t="shared" si="6"/>
        <v>0</v>
      </c>
      <c r="R22" s="26">
        <f t="shared" si="7"/>
        <v>12500</v>
      </c>
      <c r="S22" s="26">
        <f t="shared" si="7"/>
        <v>500</v>
      </c>
      <c r="T22" s="26">
        <f>E22-P22</f>
        <v>12500</v>
      </c>
    </row>
    <row r="23" spans="2:20" ht="14.25">
      <c r="B23" s="80"/>
      <c r="C23" s="39" t="s">
        <v>152</v>
      </c>
      <c r="D23" s="18" t="s">
        <v>132</v>
      </c>
      <c r="E23" s="27">
        <v>12500</v>
      </c>
      <c r="F23" s="27">
        <f>G23*25</f>
        <v>12500</v>
      </c>
      <c r="G23" s="27">
        <v>500</v>
      </c>
      <c r="H23" s="23"/>
      <c r="I23" s="7"/>
      <c r="J23" s="7">
        <f>240+12500</f>
        <v>12740</v>
      </c>
      <c r="K23" s="7">
        <f>9.69+495.25</f>
        <v>504.94</v>
      </c>
      <c r="L23" s="7"/>
      <c r="M23" s="7"/>
      <c r="N23" s="7"/>
      <c r="O23" s="11"/>
      <c r="P23" s="26">
        <f t="shared" si="6"/>
        <v>12740</v>
      </c>
      <c r="Q23" s="26">
        <f t="shared" si="6"/>
        <v>504.94</v>
      </c>
      <c r="R23" s="26">
        <f t="shared" si="7"/>
        <v>-240</v>
      </c>
      <c r="S23" s="26">
        <f t="shared" si="7"/>
        <v>-4.939999999999998</v>
      </c>
      <c r="T23" s="26">
        <f>E23-P23</f>
        <v>-240</v>
      </c>
    </row>
    <row r="24" spans="2:20" ht="14.25">
      <c r="B24" s="80"/>
      <c r="C24" s="39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7"/>
    </row>
    <row r="25" spans="2:20" ht="14.25">
      <c r="B25" s="80"/>
      <c r="C25" s="39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7"/>
    </row>
    <row r="26" spans="2:20" ht="14.25">
      <c r="B26" s="80"/>
      <c r="C26" s="39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7"/>
    </row>
    <row r="27" spans="2:20" ht="15" thickBot="1">
      <c r="B27" s="80"/>
      <c r="C27" s="39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8"/>
    </row>
    <row r="28" spans="2:20" ht="15" thickBot="1">
      <c r="B28" s="81"/>
      <c r="C28" s="16" t="s">
        <v>5</v>
      </c>
      <c r="D28" s="20"/>
      <c r="E28" s="29">
        <f>SUM(E21:E27)</f>
        <v>50000</v>
      </c>
      <c r="F28" s="29">
        <f aca="true" t="shared" si="8" ref="F28:T28">SUM(F21:F27)</f>
        <v>50000</v>
      </c>
      <c r="G28" s="29">
        <f t="shared" si="8"/>
        <v>2000</v>
      </c>
      <c r="H28" s="25">
        <f t="shared" si="8"/>
        <v>0</v>
      </c>
      <c r="I28" s="9">
        <f t="shared" si="8"/>
        <v>0</v>
      </c>
      <c r="J28" s="9">
        <f t="shared" si="8"/>
        <v>12740</v>
      </c>
      <c r="K28" s="9">
        <f t="shared" si="8"/>
        <v>504.94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>
        <f t="shared" si="8"/>
        <v>0</v>
      </c>
      <c r="P28" s="29">
        <f t="shared" si="8"/>
        <v>12740</v>
      </c>
      <c r="Q28" s="29">
        <f t="shared" si="8"/>
        <v>504.94</v>
      </c>
      <c r="R28" s="29">
        <f t="shared" si="8"/>
        <v>37260</v>
      </c>
      <c r="S28" s="29">
        <f t="shared" si="8"/>
        <v>1495.06</v>
      </c>
      <c r="T28" s="29">
        <f t="shared" si="8"/>
        <v>37260</v>
      </c>
    </row>
    <row r="29" spans="2:20" ht="14.25">
      <c r="B29" s="79" t="s">
        <v>16</v>
      </c>
      <c r="C29" s="39" t="s">
        <v>46</v>
      </c>
      <c r="D29" s="17" t="s">
        <v>21</v>
      </c>
      <c r="E29" s="26">
        <v>351000</v>
      </c>
      <c r="F29" s="26">
        <f>G29*25</f>
        <v>351000</v>
      </c>
      <c r="G29" s="26">
        <v>14040</v>
      </c>
      <c r="H29" s="22">
        <v>5823.82</v>
      </c>
      <c r="I29" s="6">
        <v>222</v>
      </c>
      <c r="J29" s="6">
        <v>5822.17</v>
      </c>
      <c r="K29" s="6">
        <v>235.12</v>
      </c>
      <c r="L29" s="6"/>
      <c r="M29" s="6"/>
      <c r="N29" s="6"/>
      <c r="O29" s="10"/>
      <c r="P29" s="26">
        <f aca="true" t="shared" si="9" ref="P29:Q31">H29+J29+L29+N29</f>
        <v>11645.99</v>
      </c>
      <c r="Q29" s="26">
        <f t="shared" si="9"/>
        <v>457.12</v>
      </c>
      <c r="R29" s="26">
        <f aca="true" t="shared" si="10" ref="R29:S31">F29-P29</f>
        <v>339354.01</v>
      </c>
      <c r="S29" s="26">
        <f t="shared" si="10"/>
        <v>13582.88</v>
      </c>
      <c r="T29" s="26">
        <f>E29-P29</f>
        <v>339354.01</v>
      </c>
    </row>
    <row r="30" spans="2:20" ht="14.25">
      <c r="B30" s="80"/>
      <c r="C30" s="39" t="s">
        <v>47</v>
      </c>
      <c r="D30" s="18" t="s">
        <v>22</v>
      </c>
      <c r="E30" s="27">
        <v>17000</v>
      </c>
      <c r="F30" s="27">
        <f>G30*25</f>
        <v>16875</v>
      </c>
      <c r="G30" s="27">
        <v>675</v>
      </c>
      <c r="H30" s="23"/>
      <c r="I30" s="7"/>
      <c r="J30" s="7">
        <v>4173</v>
      </c>
      <c r="K30" s="7">
        <v>168.52</v>
      </c>
      <c r="L30" s="7"/>
      <c r="M30" s="7"/>
      <c r="N30" s="7"/>
      <c r="O30" s="11"/>
      <c r="P30" s="26">
        <f t="shared" si="9"/>
        <v>4173</v>
      </c>
      <c r="Q30" s="26">
        <f t="shared" si="9"/>
        <v>168.52</v>
      </c>
      <c r="R30" s="26">
        <f t="shared" si="10"/>
        <v>12702</v>
      </c>
      <c r="S30" s="26">
        <f t="shared" si="10"/>
        <v>506.48</v>
      </c>
      <c r="T30" s="26">
        <f>E30-P30</f>
        <v>12827</v>
      </c>
    </row>
    <row r="31" spans="2:20" ht="14.25">
      <c r="B31" s="80"/>
      <c r="C31" s="39" t="s">
        <v>48</v>
      </c>
      <c r="D31" s="18" t="s">
        <v>23</v>
      </c>
      <c r="E31" s="27">
        <v>405000</v>
      </c>
      <c r="F31" s="27">
        <f>G31*25</f>
        <v>405000</v>
      </c>
      <c r="G31" s="27">
        <v>16200</v>
      </c>
      <c r="H31" s="23"/>
      <c r="I31" s="7"/>
      <c r="J31" s="7"/>
      <c r="K31" s="7"/>
      <c r="L31" s="7"/>
      <c r="M31" s="7"/>
      <c r="N31" s="7"/>
      <c r="O31" s="11"/>
      <c r="P31" s="26">
        <f t="shared" si="9"/>
        <v>0</v>
      </c>
      <c r="Q31" s="26">
        <f t="shared" si="9"/>
        <v>0</v>
      </c>
      <c r="R31" s="26">
        <f t="shared" si="10"/>
        <v>405000</v>
      </c>
      <c r="S31" s="26">
        <f t="shared" si="10"/>
        <v>16200</v>
      </c>
      <c r="T31" s="26">
        <f>E31-P31</f>
        <v>405000</v>
      </c>
    </row>
    <row r="32" spans="2:20" ht="14.25">
      <c r="B32" s="80"/>
      <c r="C32" s="39" t="s">
        <v>160</v>
      </c>
      <c r="D32" s="18"/>
      <c r="E32" s="27"/>
      <c r="F32" s="27"/>
      <c r="G32" s="27"/>
      <c r="H32" s="23"/>
      <c r="I32" s="7"/>
      <c r="J32" s="7"/>
      <c r="K32" s="7"/>
      <c r="L32" s="7"/>
      <c r="M32" s="7"/>
      <c r="N32" s="7"/>
      <c r="O32" s="11"/>
      <c r="P32" s="26"/>
      <c r="Q32" s="26"/>
      <c r="R32" s="26"/>
      <c r="S32" s="26"/>
      <c r="T32" s="26"/>
    </row>
    <row r="33" spans="2:20" ht="14.25">
      <c r="B33" s="80"/>
      <c r="C33" s="39" t="s">
        <v>161</v>
      </c>
      <c r="D33" s="18"/>
      <c r="E33" s="27"/>
      <c r="F33" s="27"/>
      <c r="G33" s="27"/>
      <c r="H33" s="23"/>
      <c r="I33" s="7"/>
      <c r="J33" s="7"/>
      <c r="K33" s="7"/>
      <c r="L33" s="7"/>
      <c r="M33" s="7"/>
      <c r="N33" s="7"/>
      <c r="O33" s="11"/>
      <c r="P33" s="26"/>
      <c r="Q33" s="26"/>
      <c r="R33" s="26"/>
      <c r="S33" s="26"/>
      <c r="T33" s="26"/>
    </row>
    <row r="34" spans="2:20" ht="14.25">
      <c r="B34" s="80"/>
      <c r="C34" s="39" t="s">
        <v>162</v>
      </c>
      <c r="D34" s="18"/>
      <c r="E34" s="27"/>
      <c r="F34" s="27"/>
      <c r="G34" s="27"/>
      <c r="H34" s="23"/>
      <c r="I34" s="7"/>
      <c r="J34" s="7"/>
      <c r="K34" s="7"/>
      <c r="L34" s="7"/>
      <c r="M34" s="7"/>
      <c r="N34" s="7"/>
      <c r="O34" s="11"/>
      <c r="P34" s="27"/>
      <c r="Q34" s="27"/>
      <c r="R34" s="27"/>
      <c r="S34" s="27"/>
      <c r="T34" s="27"/>
    </row>
    <row r="35" spans="2:20" ht="15" thickBot="1">
      <c r="B35" s="80"/>
      <c r="C35" s="39" t="s">
        <v>163</v>
      </c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8"/>
    </row>
    <row r="36" spans="2:20" ht="15" thickBot="1">
      <c r="B36" s="81"/>
      <c r="C36" s="16" t="s">
        <v>5</v>
      </c>
      <c r="D36" s="20"/>
      <c r="E36" s="29">
        <f>SUM(E29:E35)</f>
        <v>773000</v>
      </c>
      <c r="F36" s="29">
        <f aca="true" t="shared" si="11" ref="F36:T36">SUM(F29:F35)</f>
        <v>772875</v>
      </c>
      <c r="G36" s="29">
        <f t="shared" si="11"/>
        <v>30915</v>
      </c>
      <c r="H36" s="25">
        <f t="shared" si="11"/>
        <v>5823.82</v>
      </c>
      <c r="I36" s="9">
        <f t="shared" si="11"/>
        <v>222</v>
      </c>
      <c r="J36" s="9">
        <f t="shared" si="11"/>
        <v>9995.17</v>
      </c>
      <c r="K36" s="9">
        <f t="shared" si="11"/>
        <v>403.64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29">
        <f t="shared" si="11"/>
        <v>15818.99</v>
      </c>
      <c r="Q36" s="29">
        <f t="shared" si="11"/>
        <v>625.64</v>
      </c>
      <c r="R36" s="29">
        <f t="shared" si="11"/>
        <v>757056.01</v>
      </c>
      <c r="S36" s="29">
        <f t="shared" si="11"/>
        <v>30289.36</v>
      </c>
      <c r="T36" s="29">
        <f t="shared" si="11"/>
        <v>757181.01</v>
      </c>
    </row>
    <row r="37" spans="2:20" ht="14.25">
      <c r="B37" s="79" t="s">
        <v>17</v>
      </c>
      <c r="C37" s="39" t="s">
        <v>173</v>
      </c>
      <c r="D37" s="17" t="s">
        <v>85</v>
      </c>
      <c r="E37" s="26">
        <v>6120000</v>
      </c>
      <c r="F37" s="26">
        <f>G37*25</f>
        <v>6120000</v>
      </c>
      <c r="G37" s="26">
        <v>244800</v>
      </c>
      <c r="H37" s="22">
        <v>6119536.08</v>
      </c>
      <c r="I37" s="98">
        <v>261037.51</v>
      </c>
      <c r="J37" s="6"/>
      <c r="K37" s="6"/>
      <c r="L37" s="6"/>
      <c r="M37" s="6"/>
      <c r="N37" s="6"/>
      <c r="O37" s="10"/>
      <c r="P37" s="26">
        <f>H37+J37+L37+N37+H38</f>
        <v>6847536.08</v>
      </c>
      <c r="Q37" s="26">
        <f>I37+K37+M37+O37</f>
        <v>261037.51</v>
      </c>
      <c r="R37" s="26">
        <f>F37-P37</f>
        <v>-727536.0800000001</v>
      </c>
      <c r="S37" s="26">
        <f>G37-Q37</f>
        <v>-16237.51000000001</v>
      </c>
      <c r="T37" s="26">
        <f>E37-P37</f>
        <v>-727536.0800000001</v>
      </c>
    </row>
    <row r="38" spans="2:20" ht="14.25">
      <c r="B38" s="80"/>
      <c r="C38" s="2">
        <v>40581</v>
      </c>
      <c r="D38" s="57" t="s">
        <v>125</v>
      </c>
      <c r="E38" s="30"/>
      <c r="F38" s="30">
        <v>728000</v>
      </c>
      <c r="G38" s="27"/>
      <c r="H38" s="55">
        <v>728000</v>
      </c>
      <c r="I38" s="99"/>
      <c r="J38" s="7"/>
      <c r="K38" s="7"/>
      <c r="L38" s="7"/>
      <c r="M38" s="7"/>
      <c r="N38" s="7"/>
      <c r="O38" s="11"/>
      <c r="P38" s="26"/>
      <c r="Q38" s="26"/>
      <c r="R38" s="26"/>
      <c r="S38" s="26"/>
      <c r="T38" s="26"/>
    </row>
    <row r="39" spans="2:20" ht="14.25">
      <c r="B39" s="80"/>
      <c r="C39" s="2"/>
      <c r="D39" s="18"/>
      <c r="E39" s="27"/>
      <c r="F39" s="27"/>
      <c r="G39" s="27"/>
      <c r="H39" s="23"/>
      <c r="I39" s="7"/>
      <c r="J39" s="7"/>
      <c r="K39" s="7"/>
      <c r="L39" s="7"/>
      <c r="M39" s="7"/>
      <c r="N39" s="7"/>
      <c r="O39" s="11"/>
      <c r="P39" s="26"/>
      <c r="Q39" s="26"/>
      <c r="R39" s="26"/>
      <c r="S39" s="26"/>
      <c r="T39" s="26"/>
    </row>
    <row r="40" spans="2:20" ht="14.25">
      <c r="B40" s="80"/>
      <c r="C40" s="2"/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7"/>
    </row>
    <row r="41" spans="2:20" ht="14.25">
      <c r="B41" s="80"/>
      <c r="C41" s="2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7"/>
    </row>
    <row r="42" spans="2:20" ht="14.25">
      <c r="B42" s="80"/>
      <c r="C42" s="2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7"/>
    </row>
    <row r="43" spans="2:20" ht="15" thickBot="1">
      <c r="B43" s="80"/>
      <c r="C43" s="2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8"/>
    </row>
    <row r="44" spans="2:20" ht="15" thickBot="1">
      <c r="B44" s="81"/>
      <c r="C44" s="5" t="s">
        <v>5</v>
      </c>
      <c r="D44" s="20"/>
      <c r="E44" s="31">
        <f>SUM(E37:E43)</f>
        <v>6120000</v>
      </c>
      <c r="F44" s="31">
        <f aca="true" t="shared" si="12" ref="F44:T44">SUM(F37:F43)</f>
        <v>6848000</v>
      </c>
      <c r="G44" s="31">
        <f t="shared" si="12"/>
        <v>244800</v>
      </c>
      <c r="H44" s="34">
        <f t="shared" si="12"/>
        <v>6847536.08</v>
      </c>
      <c r="I44" s="9">
        <f t="shared" si="12"/>
        <v>261037.51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0</v>
      </c>
      <c r="P44" s="29">
        <f t="shared" si="12"/>
        <v>6847536.08</v>
      </c>
      <c r="Q44" s="29">
        <f t="shared" si="12"/>
        <v>261037.51</v>
      </c>
      <c r="R44" s="29">
        <f t="shared" si="12"/>
        <v>-727536.0800000001</v>
      </c>
      <c r="S44" s="29">
        <f t="shared" si="12"/>
        <v>-16237.51000000001</v>
      </c>
      <c r="T44" s="29">
        <f t="shared" si="12"/>
        <v>-727536.0800000001</v>
      </c>
    </row>
    <row r="45" spans="2:20" s="54" customFormat="1" ht="16.5" thickBot="1">
      <c r="B45" s="77" t="s">
        <v>18</v>
      </c>
      <c r="C45" s="78"/>
      <c r="D45" s="78"/>
      <c r="E45" s="32">
        <f>SUM(E12+E20+E28+E36+E44)</f>
        <v>7149000</v>
      </c>
      <c r="F45" s="32">
        <f aca="true" t="shared" si="13" ref="F45:T45">SUM(F12+F20+F28+F36+F44)</f>
        <v>7876750</v>
      </c>
      <c r="G45" s="32">
        <f t="shared" si="13"/>
        <v>285950</v>
      </c>
      <c r="H45" s="32">
        <f t="shared" si="13"/>
        <v>6886171.4</v>
      </c>
      <c r="I45" s="32">
        <f t="shared" si="13"/>
        <v>262510.32</v>
      </c>
      <c r="J45" s="32">
        <f t="shared" si="13"/>
        <v>22735.17</v>
      </c>
      <c r="K45" s="32">
        <f t="shared" si="13"/>
        <v>908.5799999999999</v>
      </c>
      <c r="L45" s="32">
        <f t="shared" si="13"/>
        <v>0</v>
      </c>
      <c r="M45" s="32">
        <f t="shared" si="13"/>
        <v>0</v>
      </c>
      <c r="N45" s="32">
        <f t="shared" si="13"/>
        <v>0</v>
      </c>
      <c r="O45" s="32">
        <f t="shared" si="13"/>
        <v>0</v>
      </c>
      <c r="P45" s="32">
        <f t="shared" si="13"/>
        <v>6908906.57</v>
      </c>
      <c r="Q45" s="32">
        <f t="shared" si="13"/>
        <v>263418.9</v>
      </c>
      <c r="R45" s="32">
        <f t="shared" si="13"/>
        <v>239843.42999999993</v>
      </c>
      <c r="S45" s="32">
        <f t="shared" si="13"/>
        <v>22531.09999999999</v>
      </c>
      <c r="T45" s="32">
        <f t="shared" si="13"/>
        <v>240093.42999999993</v>
      </c>
    </row>
    <row r="46" spans="2:20" s="60" customFormat="1" ht="15" thickBot="1">
      <c r="B46" s="82" t="s">
        <v>126</v>
      </c>
      <c r="C46" s="83"/>
      <c r="D46" s="84"/>
      <c r="E46" s="58">
        <f>E45*0.85</f>
        <v>6076650</v>
      </c>
      <c r="F46" s="58">
        <f aca="true" t="shared" si="14" ref="F46:K46">F45*0.85</f>
        <v>6695237.5</v>
      </c>
      <c r="G46" s="58">
        <f t="shared" si="14"/>
        <v>243057.5</v>
      </c>
      <c r="H46" s="58">
        <f t="shared" si="14"/>
        <v>5853245.69</v>
      </c>
      <c r="I46" s="59">
        <f t="shared" si="14"/>
        <v>223133.772</v>
      </c>
      <c r="J46" s="58">
        <f t="shared" si="14"/>
        <v>19324.8945</v>
      </c>
      <c r="K46" s="59">
        <f t="shared" si="14"/>
        <v>772.2929999999999</v>
      </c>
      <c r="L46" s="58"/>
      <c r="M46" s="58"/>
      <c r="N46" s="58"/>
      <c r="O46" s="58"/>
      <c r="P46" s="62">
        <f aca="true" t="shared" si="15" ref="P46:Q48">H46+J46+L46+N46</f>
        <v>5872570.584500001</v>
      </c>
      <c r="Q46" s="62">
        <f t="shared" si="15"/>
        <v>223906.065</v>
      </c>
      <c r="R46" s="62">
        <f aca="true" t="shared" si="16" ref="R46:S48">F46-P46</f>
        <v>822666.9154999992</v>
      </c>
      <c r="S46" s="62">
        <f t="shared" si="16"/>
        <v>19151.434999999998</v>
      </c>
      <c r="T46" s="62">
        <f>E46-P46</f>
        <v>204079.4154999992</v>
      </c>
    </row>
    <row r="47" spans="2:20" s="60" customFormat="1" ht="15" thickBot="1">
      <c r="B47" s="85" t="s">
        <v>127</v>
      </c>
      <c r="C47" s="86"/>
      <c r="D47" s="87"/>
      <c r="E47" s="61">
        <f>E45*0.15</f>
        <v>1072350</v>
      </c>
      <c r="F47" s="61">
        <f aca="true" t="shared" si="17" ref="F47:K47">F45*0.15</f>
        <v>1181512.5</v>
      </c>
      <c r="G47" s="61">
        <f t="shared" si="17"/>
        <v>42892.5</v>
      </c>
      <c r="H47" s="61">
        <f t="shared" si="17"/>
        <v>1032925.71</v>
      </c>
      <c r="I47" s="61">
        <f t="shared" si="17"/>
        <v>39376.548</v>
      </c>
      <c r="J47" s="61">
        <f t="shared" si="17"/>
        <v>3410.2754999999997</v>
      </c>
      <c r="K47" s="61">
        <f t="shared" si="17"/>
        <v>136.28699999999998</v>
      </c>
      <c r="L47" s="61"/>
      <c r="M47" s="61"/>
      <c r="N47" s="61"/>
      <c r="O47" s="61"/>
      <c r="P47" s="68">
        <f t="shared" si="15"/>
        <v>1036335.9855</v>
      </c>
      <c r="Q47" s="68">
        <f t="shared" si="15"/>
        <v>39512.835</v>
      </c>
      <c r="R47" s="68">
        <f t="shared" si="16"/>
        <v>145176.51450000005</v>
      </c>
      <c r="S47" s="68">
        <f t="shared" si="16"/>
        <v>3379.665000000001</v>
      </c>
      <c r="T47" s="68">
        <f>E47-P47</f>
        <v>36014.01450000005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6695237.5</v>
      </c>
      <c r="G48" s="67">
        <f>G46</f>
        <v>243057.5</v>
      </c>
      <c r="H48" s="63">
        <v>5587046.47</v>
      </c>
      <c r="I48" s="63">
        <v>223133.77</v>
      </c>
      <c r="J48" s="63"/>
      <c r="K48" s="63"/>
      <c r="L48" s="63"/>
      <c r="M48" s="63"/>
      <c r="N48" s="63"/>
      <c r="O48" s="63"/>
      <c r="P48" s="64">
        <f t="shared" si="15"/>
        <v>5587046.47</v>
      </c>
      <c r="Q48" s="64">
        <f t="shared" si="15"/>
        <v>223133.77</v>
      </c>
      <c r="R48" s="64">
        <f t="shared" si="16"/>
        <v>1108191.0300000003</v>
      </c>
      <c r="S48" s="65">
        <f t="shared" si="16"/>
        <v>19923.73000000001</v>
      </c>
      <c r="T48" s="65"/>
    </row>
    <row r="49" ht="14.25" thickBot="1" thickTop="1"/>
    <row r="50" spans="3:20" ht="13.5" customHeight="1">
      <c r="C50" s="112" t="s">
        <v>174</v>
      </c>
      <c r="D50" s="113"/>
      <c r="E50" s="114">
        <f aca="true" t="shared" si="18" ref="E50:M50">SUM(E12+E20+E28+E36)</f>
        <v>1029000</v>
      </c>
      <c r="F50" s="114">
        <f t="shared" si="18"/>
        <v>1028750</v>
      </c>
      <c r="G50" s="114">
        <f t="shared" si="18"/>
        <v>41150</v>
      </c>
      <c r="H50" s="114">
        <f t="shared" si="18"/>
        <v>38635.32</v>
      </c>
      <c r="I50" s="114">
        <f t="shared" si="18"/>
        <v>1472.8100000000002</v>
      </c>
      <c r="J50" s="114">
        <f t="shared" si="18"/>
        <v>22735.17</v>
      </c>
      <c r="K50" s="114">
        <f t="shared" si="18"/>
        <v>908.5799999999999</v>
      </c>
      <c r="L50" s="114">
        <f t="shared" si="18"/>
        <v>0</v>
      </c>
      <c r="M50" s="114">
        <f t="shared" si="18"/>
        <v>0</v>
      </c>
      <c r="N50" s="115"/>
      <c r="O50" s="115"/>
      <c r="P50" s="114">
        <f>SUM(H50+J50+L50)</f>
        <v>61370.49</v>
      </c>
      <c r="Q50" s="114">
        <f>SUM(Q12+Q20+Q28+Q36)</f>
        <v>2381.3900000000003</v>
      </c>
      <c r="R50" s="114">
        <f>SUM(R12+R20+R28+R36)</f>
        <v>967379.51</v>
      </c>
      <c r="S50" s="114">
        <f>SUM(S12+S20+S28+S36)</f>
        <v>38768.61</v>
      </c>
      <c r="T50" s="116">
        <f>SUM(E50-P50)-728000</f>
        <v>239629.51</v>
      </c>
    </row>
    <row r="51" spans="3:20" ht="13.5" customHeight="1" thickBot="1">
      <c r="C51" s="117" t="s">
        <v>175</v>
      </c>
      <c r="D51" s="118"/>
      <c r="E51" s="119">
        <f>SUM(E44)</f>
        <v>6120000</v>
      </c>
      <c r="F51" s="119">
        <f aca="true" t="shared" si="19" ref="F51:T51">SUM(F44)</f>
        <v>6848000</v>
      </c>
      <c r="G51" s="119">
        <f t="shared" si="19"/>
        <v>244800</v>
      </c>
      <c r="H51" s="119">
        <f t="shared" si="19"/>
        <v>6847536.08</v>
      </c>
      <c r="I51" s="119">
        <f t="shared" si="19"/>
        <v>261037.51</v>
      </c>
      <c r="J51" s="119">
        <f t="shared" si="19"/>
        <v>0</v>
      </c>
      <c r="K51" s="119">
        <f t="shared" si="19"/>
        <v>0</v>
      </c>
      <c r="L51" s="119">
        <f t="shared" si="19"/>
        <v>0</v>
      </c>
      <c r="M51" s="119">
        <f t="shared" si="19"/>
        <v>0</v>
      </c>
      <c r="N51" s="119">
        <f t="shared" si="19"/>
        <v>0</v>
      </c>
      <c r="O51" s="119">
        <f t="shared" si="19"/>
        <v>0</v>
      </c>
      <c r="P51" s="119">
        <f t="shared" si="19"/>
        <v>6847536.08</v>
      </c>
      <c r="Q51" s="119">
        <f t="shared" si="19"/>
        <v>261037.51</v>
      </c>
      <c r="R51" s="119">
        <f t="shared" si="19"/>
        <v>-727536.0800000001</v>
      </c>
      <c r="S51" s="119">
        <f t="shared" si="19"/>
        <v>-16237.51000000001</v>
      </c>
      <c r="T51" s="120">
        <f t="shared" si="19"/>
        <v>-727536.0800000001</v>
      </c>
    </row>
  </sheetData>
  <sheetProtection/>
  <mergeCells count="30">
    <mergeCell ref="C50:D50"/>
    <mergeCell ref="C51:D51"/>
    <mergeCell ref="I37:I38"/>
    <mergeCell ref="H3:I3"/>
    <mergeCell ref="J3:K3"/>
    <mergeCell ref="B1:R1"/>
    <mergeCell ref="C2:C4"/>
    <mergeCell ref="D2:D4"/>
    <mergeCell ref="H2:O2"/>
    <mergeCell ref="P2:P4"/>
    <mergeCell ref="Q2:Q4"/>
    <mergeCell ref="E2:E4"/>
    <mergeCell ref="L3:M3"/>
    <mergeCell ref="N3:O3"/>
    <mergeCell ref="T2:T4"/>
    <mergeCell ref="F2:G2"/>
    <mergeCell ref="F3:F4"/>
    <mergeCell ref="G3:G4"/>
    <mergeCell ref="R2:S2"/>
    <mergeCell ref="R3:R4"/>
    <mergeCell ref="S3:S4"/>
    <mergeCell ref="B48:D48"/>
    <mergeCell ref="B45:D45"/>
    <mergeCell ref="B5:B12"/>
    <mergeCell ref="B13:B20"/>
    <mergeCell ref="B21:B28"/>
    <mergeCell ref="B29:B36"/>
    <mergeCell ref="B37:B44"/>
    <mergeCell ref="B46:D46"/>
    <mergeCell ref="B47:D47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50" r:id="rId1"/>
  <ignoredErrors>
    <ignoredError sqref="F47:G47" formula="1"/>
    <ignoredError sqref="C29:C3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1"/>
  <sheetViews>
    <sheetView zoomScalePageLayoutView="0" workbookViewId="0" topLeftCell="A10">
      <selection activeCell="C37" sqref="C37:C38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62.00390625" style="0" customWidth="1"/>
    <col min="5" max="5" width="20.8515625" style="0" customWidth="1"/>
    <col min="6" max="6" width="16.00390625" style="0" customWidth="1"/>
    <col min="7" max="7" width="13.7109375" style="0" customWidth="1"/>
    <col min="8" max="8" width="15.57421875" style="0" customWidth="1"/>
    <col min="9" max="13" width="13.7109375" style="0" customWidth="1"/>
    <col min="14" max="15" width="13.7109375" style="0" hidden="1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9.00390625" style="0" customWidth="1"/>
    <col min="21" max="21" width="10.7109375" style="0" bestFit="1" customWidth="1"/>
  </cols>
  <sheetData>
    <row r="1" spans="2:18" ht="26.25" customHeight="1" thickBot="1">
      <c r="B1" s="100" t="s">
        <v>32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31</v>
      </c>
      <c r="R2" s="94" t="s">
        <v>133</v>
      </c>
      <c r="S2" s="95"/>
      <c r="T2" s="91" t="s">
        <v>135</v>
      </c>
    </row>
    <row r="3" spans="2:20" ht="17.25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7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87</v>
      </c>
      <c r="E5" s="26">
        <v>4000</v>
      </c>
      <c r="F5" s="26">
        <f>G5*25</f>
        <v>4500</v>
      </c>
      <c r="G5" s="26">
        <v>180</v>
      </c>
      <c r="H5" s="22"/>
      <c r="I5" s="6"/>
      <c r="J5" s="6"/>
      <c r="K5" s="6"/>
      <c r="L5" s="6"/>
      <c r="M5" s="6"/>
      <c r="N5" s="6"/>
      <c r="O5" s="10"/>
      <c r="P5" s="26">
        <f aca="true" t="shared" si="0" ref="P5:Q7">H5+J5+L5+N5</f>
        <v>0</v>
      </c>
      <c r="Q5" s="26">
        <f t="shared" si="0"/>
        <v>0</v>
      </c>
      <c r="R5" s="26">
        <f aca="true" t="shared" si="1" ref="R5:S7">F5-P5</f>
        <v>4500</v>
      </c>
      <c r="S5" s="26">
        <f t="shared" si="1"/>
        <v>180</v>
      </c>
      <c r="T5" s="26">
        <f>E5-P5</f>
        <v>4000</v>
      </c>
    </row>
    <row r="6" spans="2:20" ht="14.25">
      <c r="B6" s="80"/>
      <c r="C6" s="39" t="s">
        <v>137</v>
      </c>
      <c r="D6" s="18" t="s">
        <v>33</v>
      </c>
      <c r="E6" s="27">
        <v>20000</v>
      </c>
      <c r="F6" s="27">
        <f>G6*25</f>
        <v>20150</v>
      </c>
      <c r="G6" s="27">
        <v>806</v>
      </c>
      <c r="H6" s="23"/>
      <c r="I6" s="7"/>
      <c r="J6" s="7"/>
      <c r="K6" s="7"/>
      <c r="L6" s="7"/>
      <c r="M6" s="7"/>
      <c r="N6" s="7"/>
      <c r="O6" s="11"/>
      <c r="P6" s="26">
        <f t="shared" si="0"/>
        <v>0</v>
      </c>
      <c r="Q6" s="26">
        <f t="shared" si="0"/>
        <v>0</v>
      </c>
      <c r="R6" s="26">
        <f t="shared" si="1"/>
        <v>20150</v>
      </c>
      <c r="S6" s="26">
        <f t="shared" si="1"/>
        <v>806</v>
      </c>
      <c r="T6" s="26">
        <f>E6-P6</f>
        <v>20000</v>
      </c>
    </row>
    <row r="7" spans="2:20" ht="14.25">
      <c r="B7" s="80"/>
      <c r="C7" s="39" t="s">
        <v>138</v>
      </c>
      <c r="D7" s="18" t="s">
        <v>34</v>
      </c>
      <c r="E7" s="27">
        <v>16000</v>
      </c>
      <c r="F7" s="27">
        <f>G7*25</f>
        <v>16200</v>
      </c>
      <c r="G7" s="27">
        <v>648</v>
      </c>
      <c r="H7" s="23"/>
      <c r="I7" s="7"/>
      <c r="J7" s="7"/>
      <c r="K7" s="7"/>
      <c r="L7" s="7"/>
      <c r="M7" s="7"/>
      <c r="N7" s="7"/>
      <c r="O7" s="11"/>
      <c r="P7" s="26">
        <f t="shared" si="0"/>
        <v>0</v>
      </c>
      <c r="Q7" s="26">
        <f t="shared" si="0"/>
        <v>0</v>
      </c>
      <c r="R7" s="26">
        <f t="shared" si="1"/>
        <v>16200</v>
      </c>
      <c r="S7" s="26">
        <f t="shared" si="1"/>
        <v>648</v>
      </c>
      <c r="T7" s="26">
        <f>E7-P7</f>
        <v>16000</v>
      </c>
    </row>
    <row r="8" spans="2:20" ht="14.25">
      <c r="B8" s="80"/>
      <c r="C8" s="39" t="s">
        <v>139</v>
      </c>
      <c r="D8" s="18"/>
      <c r="E8" s="27"/>
      <c r="F8" s="27"/>
      <c r="G8" s="27"/>
      <c r="H8" s="23"/>
      <c r="I8" s="7"/>
      <c r="J8" s="7"/>
      <c r="K8" s="7"/>
      <c r="L8" s="7"/>
      <c r="M8" s="7"/>
      <c r="N8" s="7"/>
      <c r="O8" s="11"/>
      <c r="P8" s="27"/>
      <c r="Q8" s="27"/>
      <c r="R8" s="27"/>
      <c r="S8" s="27"/>
      <c r="T8" s="27"/>
    </row>
    <row r="9" spans="2:20" ht="14.25">
      <c r="B9" s="80"/>
      <c r="C9" s="39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7"/>
    </row>
    <row r="10" spans="2:20" ht="14.25">
      <c r="B10" s="80"/>
      <c r="C10" s="39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7"/>
    </row>
    <row r="11" spans="2:20" ht="15" thickBot="1">
      <c r="B11" s="80"/>
      <c r="C11" s="39" t="s">
        <v>142</v>
      </c>
      <c r="D11" s="19"/>
      <c r="E11" s="28"/>
      <c r="F11" s="28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8"/>
    </row>
    <row r="12" spans="2:20" ht="15" thickBot="1">
      <c r="B12" s="81"/>
      <c r="C12" s="16" t="s">
        <v>5</v>
      </c>
      <c r="D12" s="20"/>
      <c r="E12" s="29">
        <f>SUM(E5:E11)</f>
        <v>40000</v>
      </c>
      <c r="F12" s="29">
        <f aca="true" t="shared" si="2" ref="F12:S12">SUM(F5:F11)</f>
        <v>40850</v>
      </c>
      <c r="G12" s="29">
        <f t="shared" si="2"/>
        <v>1634</v>
      </c>
      <c r="H12" s="25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29">
        <f t="shared" si="2"/>
        <v>0</v>
      </c>
      <c r="Q12" s="29">
        <f t="shared" si="2"/>
        <v>0</v>
      </c>
      <c r="R12" s="29">
        <f t="shared" si="2"/>
        <v>40850</v>
      </c>
      <c r="S12" s="29">
        <f t="shared" si="2"/>
        <v>1634</v>
      </c>
      <c r="T12" s="29">
        <f>SUM(T5:T11)</f>
        <v>40000</v>
      </c>
    </row>
    <row r="13" spans="2:20" ht="14.25" customHeight="1">
      <c r="B13" s="79" t="s">
        <v>9</v>
      </c>
      <c r="C13" s="39" t="s">
        <v>143</v>
      </c>
      <c r="D13" s="17" t="s">
        <v>10</v>
      </c>
      <c r="E13" s="26">
        <v>30000</v>
      </c>
      <c r="F13" s="26">
        <f>G13*25</f>
        <v>30000</v>
      </c>
      <c r="G13" s="26">
        <v>1200</v>
      </c>
      <c r="H13" s="22">
        <v>24000</v>
      </c>
      <c r="I13" s="6">
        <v>914.91</v>
      </c>
      <c r="J13" s="6"/>
      <c r="K13" s="6"/>
      <c r="L13" s="6"/>
      <c r="M13" s="6"/>
      <c r="N13" s="6"/>
      <c r="O13" s="10"/>
      <c r="P13" s="26">
        <f aca="true" t="shared" si="3" ref="P13:Q17">H13+J13+L13+N13</f>
        <v>24000</v>
      </c>
      <c r="Q13" s="26">
        <f t="shared" si="3"/>
        <v>914.91</v>
      </c>
      <c r="R13" s="26">
        <f aca="true" t="shared" si="4" ref="R13:S17">F13-P13</f>
        <v>6000</v>
      </c>
      <c r="S13" s="26">
        <f t="shared" si="4"/>
        <v>285.09000000000003</v>
      </c>
      <c r="T13" s="26">
        <f>E13-P13</f>
        <v>6000</v>
      </c>
    </row>
    <row r="14" spans="2:20" ht="14.25">
      <c r="B14" s="80"/>
      <c r="C14" s="39" t="s">
        <v>144</v>
      </c>
      <c r="D14" s="18" t="s">
        <v>35</v>
      </c>
      <c r="E14" s="27">
        <v>30000</v>
      </c>
      <c r="F14" s="27">
        <f>G14*25</f>
        <v>30000</v>
      </c>
      <c r="G14" s="27">
        <v>1200</v>
      </c>
      <c r="H14" s="23">
        <v>20160.1</v>
      </c>
      <c r="I14" s="7">
        <v>768.53</v>
      </c>
      <c r="J14" s="7"/>
      <c r="K14" s="7"/>
      <c r="L14" s="7"/>
      <c r="M14" s="7"/>
      <c r="N14" s="7"/>
      <c r="O14" s="11"/>
      <c r="P14" s="26">
        <f t="shared" si="3"/>
        <v>20160.1</v>
      </c>
      <c r="Q14" s="26">
        <f t="shared" si="3"/>
        <v>768.53</v>
      </c>
      <c r="R14" s="26">
        <f t="shared" si="4"/>
        <v>9839.900000000001</v>
      </c>
      <c r="S14" s="26">
        <f t="shared" si="4"/>
        <v>431.47</v>
      </c>
      <c r="T14" s="26">
        <f>E14-P14</f>
        <v>9839.900000000001</v>
      </c>
    </row>
    <row r="15" spans="2:20" ht="14.25">
      <c r="B15" s="80"/>
      <c r="C15" s="39" t="s">
        <v>145</v>
      </c>
      <c r="D15" s="18" t="s">
        <v>36</v>
      </c>
      <c r="E15" s="27">
        <v>15000</v>
      </c>
      <c r="F15" s="27">
        <f>G15*25</f>
        <v>15000</v>
      </c>
      <c r="G15" s="27">
        <v>600</v>
      </c>
      <c r="H15" s="23">
        <v>15000</v>
      </c>
      <c r="I15" s="7">
        <v>571.82</v>
      </c>
      <c r="J15" s="7"/>
      <c r="K15" s="7"/>
      <c r="L15" s="7"/>
      <c r="M15" s="7"/>
      <c r="N15" s="7"/>
      <c r="O15" s="11"/>
      <c r="P15" s="26">
        <f t="shared" si="3"/>
        <v>15000</v>
      </c>
      <c r="Q15" s="26">
        <f t="shared" si="3"/>
        <v>571.82</v>
      </c>
      <c r="R15" s="26">
        <f t="shared" si="4"/>
        <v>0</v>
      </c>
      <c r="S15" s="26">
        <f t="shared" si="4"/>
        <v>28.17999999999995</v>
      </c>
      <c r="T15" s="26">
        <f>E15-P15</f>
        <v>0</v>
      </c>
    </row>
    <row r="16" spans="2:20" ht="14.25">
      <c r="B16" s="80"/>
      <c r="C16" s="39" t="s">
        <v>146</v>
      </c>
      <c r="D16" s="18" t="s">
        <v>37</v>
      </c>
      <c r="E16" s="27">
        <v>60000</v>
      </c>
      <c r="F16" s="27">
        <f>G16*25</f>
        <v>60000</v>
      </c>
      <c r="G16" s="27">
        <v>2400</v>
      </c>
      <c r="H16" s="23">
        <v>59896</v>
      </c>
      <c r="I16" s="7">
        <v>2283.32</v>
      </c>
      <c r="J16" s="7"/>
      <c r="K16" s="7"/>
      <c r="L16" s="7"/>
      <c r="M16" s="7"/>
      <c r="N16" s="7"/>
      <c r="O16" s="11"/>
      <c r="P16" s="26">
        <f t="shared" si="3"/>
        <v>59896</v>
      </c>
      <c r="Q16" s="26">
        <f t="shared" si="3"/>
        <v>2283.32</v>
      </c>
      <c r="R16" s="26">
        <f t="shared" si="4"/>
        <v>104</v>
      </c>
      <c r="S16" s="26">
        <f t="shared" si="4"/>
        <v>116.67999999999984</v>
      </c>
      <c r="T16" s="26">
        <f>E16-P16</f>
        <v>104</v>
      </c>
    </row>
    <row r="17" spans="2:20" ht="14.25">
      <c r="B17" s="80"/>
      <c r="C17" s="39" t="s">
        <v>147</v>
      </c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>
        <f t="shared" si="3"/>
        <v>0</v>
      </c>
      <c r="Q17" s="26">
        <f t="shared" si="3"/>
        <v>0</v>
      </c>
      <c r="R17" s="26">
        <f t="shared" si="4"/>
        <v>0</v>
      </c>
      <c r="S17" s="26">
        <f t="shared" si="4"/>
        <v>0</v>
      </c>
      <c r="T17" s="26">
        <f>E17-P17</f>
        <v>0</v>
      </c>
    </row>
    <row r="18" spans="2:20" ht="14.25">
      <c r="B18" s="80"/>
      <c r="C18" s="39" t="s">
        <v>148</v>
      </c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39" t="s">
        <v>149</v>
      </c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8"/>
    </row>
    <row r="20" spans="2:20" ht="15" thickBot="1">
      <c r="B20" s="81"/>
      <c r="C20" s="16" t="s">
        <v>5</v>
      </c>
      <c r="D20" s="20"/>
      <c r="E20" s="29">
        <f>SUM(E13:E19)</f>
        <v>135000</v>
      </c>
      <c r="F20" s="29">
        <f aca="true" t="shared" si="5" ref="F20:S20">SUM(F13:F19)</f>
        <v>135000</v>
      </c>
      <c r="G20" s="29">
        <f t="shared" si="5"/>
        <v>5400</v>
      </c>
      <c r="H20" s="25">
        <f t="shared" si="5"/>
        <v>119056.1</v>
      </c>
      <c r="I20" s="9">
        <f t="shared" si="5"/>
        <v>4538.58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29">
        <f t="shared" si="5"/>
        <v>119056.1</v>
      </c>
      <c r="Q20" s="29">
        <f t="shared" si="5"/>
        <v>4538.58</v>
      </c>
      <c r="R20" s="29">
        <f t="shared" si="5"/>
        <v>15943.900000000001</v>
      </c>
      <c r="S20" s="29">
        <f t="shared" si="5"/>
        <v>861.4199999999998</v>
      </c>
      <c r="T20" s="29">
        <f>SUM(T13:T19)</f>
        <v>15943.900000000001</v>
      </c>
    </row>
    <row r="21" spans="2:20" ht="14.25">
      <c r="B21" s="79" t="s">
        <v>15</v>
      </c>
      <c r="C21" s="39" t="s">
        <v>150</v>
      </c>
      <c r="D21" s="17" t="s">
        <v>19</v>
      </c>
      <c r="E21" s="26">
        <v>25000</v>
      </c>
      <c r="F21" s="26">
        <f>G21*25</f>
        <v>25000</v>
      </c>
      <c r="G21" s="26">
        <v>1000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6" ref="P21:Q23">H21+J21+L21+N21</f>
        <v>0</v>
      </c>
      <c r="Q21" s="26">
        <f t="shared" si="6"/>
        <v>0</v>
      </c>
      <c r="R21" s="26">
        <f aca="true" t="shared" si="7" ref="R21:S23">F21-P21</f>
        <v>25000</v>
      </c>
      <c r="S21" s="26">
        <f t="shared" si="7"/>
        <v>1000</v>
      </c>
      <c r="T21" s="26">
        <f>E21-P21</f>
        <v>25000</v>
      </c>
    </row>
    <row r="22" spans="2:20" ht="14.25">
      <c r="B22" s="80"/>
      <c r="C22" s="39" t="s">
        <v>151</v>
      </c>
      <c r="D22" s="18" t="s">
        <v>20</v>
      </c>
      <c r="E22" s="27">
        <v>12000</v>
      </c>
      <c r="F22" s="27">
        <f>G22*25</f>
        <v>12500</v>
      </c>
      <c r="G22" s="27">
        <v>500</v>
      </c>
      <c r="H22" s="23"/>
      <c r="I22" s="7"/>
      <c r="J22" s="7"/>
      <c r="K22" s="7"/>
      <c r="L22" s="7"/>
      <c r="M22" s="7"/>
      <c r="N22" s="7"/>
      <c r="O22" s="11"/>
      <c r="P22" s="26">
        <f t="shared" si="6"/>
        <v>0</v>
      </c>
      <c r="Q22" s="26">
        <f t="shared" si="6"/>
        <v>0</v>
      </c>
      <c r="R22" s="26">
        <f t="shared" si="7"/>
        <v>12500</v>
      </c>
      <c r="S22" s="26">
        <f t="shared" si="7"/>
        <v>500</v>
      </c>
      <c r="T22" s="26">
        <f>E22-P22</f>
        <v>12000</v>
      </c>
    </row>
    <row r="23" spans="2:20" ht="14.25">
      <c r="B23" s="80"/>
      <c r="C23" s="39" t="s">
        <v>152</v>
      </c>
      <c r="D23" s="18" t="s">
        <v>132</v>
      </c>
      <c r="E23" s="27">
        <v>15000</v>
      </c>
      <c r="F23" s="27">
        <f>G23*25</f>
        <v>15000</v>
      </c>
      <c r="G23" s="27">
        <v>600</v>
      </c>
      <c r="H23" s="23"/>
      <c r="I23" s="7"/>
      <c r="J23" s="7">
        <f>720+15000</f>
        <v>15720</v>
      </c>
      <c r="K23" s="7">
        <f>29.08+594.29</f>
        <v>623.37</v>
      </c>
      <c r="L23" s="7"/>
      <c r="M23" s="7"/>
      <c r="N23" s="7"/>
      <c r="O23" s="11"/>
      <c r="P23" s="26">
        <f t="shared" si="6"/>
        <v>15720</v>
      </c>
      <c r="Q23" s="26">
        <f t="shared" si="6"/>
        <v>623.37</v>
      </c>
      <c r="R23" s="26">
        <f t="shared" si="7"/>
        <v>-720</v>
      </c>
      <c r="S23" s="26">
        <f t="shared" si="7"/>
        <v>-23.370000000000005</v>
      </c>
      <c r="T23" s="26">
        <f>E23-P23</f>
        <v>-720</v>
      </c>
    </row>
    <row r="24" spans="2:20" ht="14.25">
      <c r="B24" s="80"/>
      <c r="C24" s="39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7"/>
    </row>
    <row r="25" spans="2:20" ht="14.25">
      <c r="B25" s="80"/>
      <c r="C25" s="39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7"/>
    </row>
    <row r="26" spans="2:20" ht="14.25">
      <c r="B26" s="80"/>
      <c r="C26" s="39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7"/>
    </row>
    <row r="27" spans="2:20" ht="15" thickBot="1">
      <c r="B27" s="80"/>
      <c r="C27" s="39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8"/>
    </row>
    <row r="28" spans="2:20" ht="15" thickBot="1">
      <c r="B28" s="81"/>
      <c r="C28" s="16" t="s">
        <v>5</v>
      </c>
      <c r="D28" s="20"/>
      <c r="E28" s="29">
        <f>SUM(E21:E27)</f>
        <v>52000</v>
      </c>
      <c r="F28" s="29">
        <f aca="true" t="shared" si="8" ref="F28:S28">SUM(F21:F27)</f>
        <v>52500</v>
      </c>
      <c r="G28" s="29">
        <f t="shared" si="8"/>
        <v>2100</v>
      </c>
      <c r="H28" s="25">
        <f t="shared" si="8"/>
        <v>0</v>
      </c>
      <c r="I28" s="9">
        <f t="shared" si="8"/>
        <v>0</v>
      </c>
      <c r="J28" s="9">
        <f t="shared" si="8"/>
        <v>15720</v>
      </c>
      <c r="K28" s="9">
        <f t="shared" si="8"/>
        <v>623.37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>
        <f t="shared" si="8"/>
        <v>0</v>
      </c>
      <c r="P28" s="29">
        <f t="shared" si="8"/>
        <v>15720</v>
      </c>
      <c r="Q28" s="29">
        <f t="shared" si="8"/>
        <v>623.37</v>
      </c>
      <c r="R28" s="29">
        <f t="shared" si="8"/>
        <v>36780</v>
      </c>
      <c r="S28" s="29">
        <f t="shared" si="8"/>
        <v>1476.63</v>
      </c>
      <c r="T28" s="29">
        <f>SUM(T21:T27)</f>
        <v>36280</v>
      </c>
    </row>
    <row r="29" spans="2:20" ht="14.25">
      <c r="B29" s="79" t="s">
        <v>16</v>
      </c>
      <c r="C29" s="39" t="s">
        <v>157</v>
      </c>
      <c r="D29" s="17" t="s">
        <v>38</v>
      </c>
      <c r="E29" s="26">
        <v>125000</v>
      </c>
      <c r="F29" s="26">
        <f>G29*25</f>
        <v>125000</v>
      </c>
      <c r="G29" s="26">
        <v>5000</v>
      </c>
      <c r="H29" s="22">
        <v>1343.84</v>
      </c>
      <c r="I29" s="6">
        <v>51.22</v>
      </c>
      <c r="J29" s="6">
        <v>7433.42</v>
      </c>
      <c r="K29" s="6">
        <v>294.51</v>
      </c>
      <c r="L29" s="6"/>
      <c r="M29" s="6"/>
      <c r="N29" s="6"/>
      <c r="O29" s="10"/>
      <c r="P29" s="26">
        <f aca="true" t="shared" si="9" ref="P29:Q31">H29+J29+L29+N29</f>
        <v>8777.26</v>
      </c>
      <c r="Q29" s="26">
        <f t="shared" si="9"/>
        <v>345.73</v>
      </c>
      <c r="R29" s="26">
        <f aca="true" t="shared" si="10" ref="R29:S31">F29-P29</f>
        <v>116222.74</v>
      </c>
      <c r="S29" s="26">
        <f t="shared" si="10"/>
        <v>4654.27</v>
      </c>
      <c r="T29" s="26">
        <f>E29-P29</f>
        <v>116222.74</v>
      </c>
    </row>
    <row r="30" spans="2:20" ht="14.25">
      <c r="B30" s="80"/>
      <c r="C30" s="39" t="s">
        <v>158</v>
      </c>
      <c r="D30" s="18" t="s">
        <v>39</v>
      </c>
      <c r="E30" s="27">
        <v>3000</v>
      </c>
      <c r="F30" s="27">
        <f>G30*25</f>
        <v>3000</v>
      </c>
      <c r="G30" s="27">
        <v>120</v>
      </c>
      <c r="H30" s="23"/>
      <c r="I30" s="7"/>
      <c r="J30" s="7"/>
      <c r="K30" s="7"/>
      <c r="L30" s="7"/>
      <c r="M30" s="7"/>
      <c r="N30" s="7"/>
      <c r="O30" s="11"/>
      <c r="P30" s="26">
        <f t="shared" si="9"/>
        <v>0</v>
      </c>
      <c r="Q30" s="26">
        <f t="shared" si="9"/>
        <v>0</v>
      </c>
      <c r="R30" s="26">
        <f t="shared" si="10"/>
        <v>3000</v>
      </c>
      <c r="S30" s="26">
        <f t="shared" si="10"/>
        <v>120</v>
      </c>
      <c r="T30" s="26">
        <f>E30-P30</f>
        <v>3000</v>
      </c>
    </row>
    <row r="31" spans="2:20" ht="14.25">
      <c r="B31" s="80"/>
      <c r="C31" s="39" t="s">
        <v>159</v>
      </c>
      <c r="D31" s="18" t="s">
        <v>86</v>
      </c>
      <c r="E31" s="27">
        <v>5000</v>
      </c>
      <c r="F31" s="27">
        <f>G31*25</f>
        <v>5000</v>
      </c>
      <c r="G31" s="27">
        <v>200</v>
      </c>
      <c r="H31" s="23"/>
      <c r="I31" s="7"/>
      <c r="J31" s="7">
        <v>3242</v>
      </c>
      <c r="K31" s="7">
        <v>129.49</v>
      </c>
      <c r="L31" s="7"/>
      <c r="M31" s="7"/>
      <c r="N31" s="7"/>
      <c r="O31" s="11"/>
      <c r="P31" s="26">
        <f t="shared" si="9"/>
        <v>3242</v>
      </c>
      <c r="Q31" s="26">
        <f t="shared" si="9"/>
        <v>129.49</v>
      </c>
      <c r="R31" s="26">
        <f t="shared" si="10"/>
        <v>1758</v>
      </c>
      <c r="S31" s="26">
        <f t="shared" si="10"/>
        <v>70.50999999999999</v>
      </c>
      <c r="T31" s="26">
        <f>E31-P31</f>
        <v>1758</v>
      </c>
    </row>
    <row r="32" spans="2:20" ht="14.25">
      <c r="B32" s="80"/>
      <c r="C32" s="39" t="s">
        <v>160</v>
      </c>
      <c r="D32" s="18" t="s">
        <v>40</v>
      </c>
      <c r="E32" s="27">
        <v>3000</v>
      </c>
      <c r="F32" s="27">
        <f>G32*25</f>
        <v>3750</v>
      </c>
      <c r="G32" s="27">
        <v>150</v>
      </c>
      <c r="H32" s="23"/>
      <c r="I32" s="7"/>
      <c r="J32" s="7"/>
      <c r="K32" s="7"/>
      <c r="L32" s="7"/>
      <c r="M32" s="7"/>
      <c r="N32" s="7"/>
      <c r="O32" s="11"/>
      <c r="P32" s="26">
        <f>H32+J32+L32+N32</f>
        <v>0</v>
      </c>
      <c r="Q32" s="26">
        <f>I32+K32+M32+O32</f>
        <v>0</v>
      </c>
      <c r="R32" s="26">
        <f>F32-P32</f>
        <v>3750</v>
      </c>
      <c r="S32" s="26">
        <f>G32-Q32</f>
        <v>150</v>
      </c>
      <c r="T32" s="26">
        <f>E32-P32</f>
        <v>3000</v>
      </c>
    </row>
    <row r="33" spans="2:20" ht="14.25">
      <c r="B33" s="80"/>
      <c r="C33" s="39" t="s">
        <v>161</v>
      </c>
      <c r="D33" s="18"/>
      <c r="E33" s="27"/>
      <c r="F33" s="27"/>
      <c r="G33" s="27"/>
      <c r="H33" s="23"/>
      <c r="I33" s="7"/>
      <c r="J33" s="7"/>
      <c r="K33" s="7"/>
      <c r="L33" s="7"/>
      <c r="M33" s="7"/>
      <c r="N33" s="7"/>
      <c r="O33" s="11"/>
      <c r="P33" s="26">
        <f>H33+J33+L33+N33</f>
        <v>0</v>
      </c>
      <c r="Q33" s="26">
        <f>I33+K33+M33+O33</f>
        <v>0</v>
      </c>
      <c r="R33" s="26">
        <f>F33-P33</f>
        <v>0</v>
      </c>
      <c r="S33" s="26">
        <f>G33-Q33</f>
        <v>0</v>
      </c>
      <c r="T33" s="26">
        <f>E33-P33</f>
        <v>0</v>
      </c>
    </row>
    <row r="34" spans="2:20" ht="14.25">
      <c r="B34" s="80"/>
      <c r="C34" s="39" t="s">
        <v>162</v>
      </c>
      <c r="D34" s="18"/>
      <c r="E34" s="27"/>
      <c r="F34" s="27"/>
      <c r="G34" s="27"/>
      <c r="H34" s="23"/>
      <c r="I34" s="7"/>
      <c r="J34" s="7"/>
      <c r="K34" s="7"/>
      <c r="L34" s="7"/>
      <c r="M34" s="7"/>
      <c r="N34" s="7"/>
      <c r="O34" s="11"/>
      <c r="P34" s="27"/>
      <c r="Q34" s="27"/>
      <c r="R34" s="27"/>
      <c r="S34" s="27"/>
      <c r="T34" s="27"/>
    </row>
    <row r="35" spans="2:20" ht="15" thickBot="1">
      <c r="B35" s="80"/>
      <c r="C35" s="39" t="s">
        <v>163</v>
      </c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8"/>
    </row>
    <row r="36" spans="2:20" ht="15" thickBot="1">
      <c r="B36" s="81"/>
      <c r="C36" s="16" t="s">
        <v>5</v>
      </c>
      <c r="D36" s="20"/>
      <c r="E36" s="29">
        <f>SUM(E29:E35)</f>
        <v>136000</v>
      </c>
      <c r="F36" s="29">
        <f aca="true" t="shared" si="11" ref="F36:S36">SUM(F29:F35)</f>
        <v>136750</v>
      </c>
      <c r="G36" s="29">
        <f t="shared" si="11"/>
        <v>5470</v>
      </c>
      <c r="H36" s="25">
        <f t="shared" si="11"/>
        <v>1343.84</v>
      </c>
      <c r="I36" s="9">
        <f t="shared" si="11"/>
        <v>51.22</v>
      </c>
      <c r="J36" s="9">
        <f t="shared" si="11"/>
        <v>10675.42</v>
      </c>
      <c r="K36" s="9">
        <f t="shared" si="11"/>
        <v>424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29">
        <f t="shared" si="11"/>
        <v>12019.26</v>
      </c>
      <c r="Q36" s="29">
        <f t="shared" si="11"/>
        <v>475.22</v>
      </c>
      <c r="R36" s="29">
        <f t="shared" si="11"/>
        <v>124730.74</v>
      </c>
      <c r="S36" s="29">
        <f t="shared" si="11"/>
        <v>4994.780000000001</v>
      </c>
      <c r="T36" s="29">
        <f>SUM(T29:T35)</f>
        <v>123980.74</v>
      </c>
    </row>
    <row r="37" spans="2:20" ht="14.25">
      <c r="B37" s="79" t="s">
        <v>17</v>
      </c>
      <c r="C37" s="39" t="s">
        <v>164</v>
      </c>
      <c r="D37" s="17" t="s">
        <v>85</v>
      </c>
      <c r="E37" s="26">
        <v>4157000</v>
      </c>
      <c r="F37" s="26">
        <f>G37*25</f>
        <v>4157400</v>
      </c>
      <c r="G37" s="26">
        <v>166296</v>
      </c>
      <c r="H37" s="22">
        <v>3894786</v>
      </c>
      <c r="I37" s="35">
        <v>148474.61</v>
      </c>
      <c r="J37" s="6"/>
      <c r="K37" s="6"/>
      <c r="L37" s="6"/>
      <c r="M37" s="6"/>
      <c r="N37" s="6"/>
      <c r="O37" s="10"/>
      <c r="P37" s="26">
        <f>H37+J37+L37+N37</f>
        <v>3894786</v>
      </c>
      <c r="Q37" s="26">
        <f>I37+K37+M37+O37</f>
        <v>148474.61</v>
      </c>
      <c r="R37" s="26">
        <f>F37-P37</f>
        <v>262614</v>
      </c>
      <c r="S37" s="26">
        <f>G37-Q37</f>
        <v>17821.390000000014</v>
      </c>
      <c r="T37" s="26">
        <f>E37-P37</f>
        <v>262214</v>
      </c>
    </row>
    <row r="38" spans="2:20" ht="14.25">
      <c r="B38" s="80"/>
      <c r="C38" s="39" t="s">
        <v>166</v>
      </c>
      <c r="D38" s="21" t="s">
        <v>84</v>
      </c>
      <c r="E38" s="30"/>
      <c r="F38" s="30"/>
      <c r="G38" s="27"/>
      <c r="H38" s="23"/>
      <c r="I38" s="36"/>
      <c r="J38" s="7"/>
      <c r="K38" s="7"/>
      <c r="L38" s="7"/>
      <c r="M38" s="7"/>
      <c r="N38" s="7"/>
      <c r="O38" s="11"/>
      <c r="P38" s="26"/>
      <c r="Q38" s="26"/>
      <c r="R38" s="26"/>
      <c r="S38" s="26"/>
      <c r="T38" s="26"/>
    </row>
    <row r="39" spans="2:20" ht="14.25">
      <c r="B39" s="80"/>
      <c r="C39" s="2"/>
      <c r="D39" s="18"/>
      <c r="E39" s="27"/>
      <c r="F39" s="27"/>
      <c r="G39" s="27"/>
      <c r="H39" s="23"/>
      <c r="I39" s="7"/>
      <c r="J39" s="7"/>
      <c r="K39" s="7"/>
      <c r="L39" s="7"/>
      <c r="M39" s="7"/>
      <c r="N39" s="7"/>
      <c r="O39" s="11"/>
      <c r="P39" s="26"/>
      <c r="Q39" s="26"/>
      <c r="R39" s="26"/>
      <c r="S39" s="26"/>
      <c r="T39" s="26"/>
    </row>
    <row r="40" spans="2:20" ht="14.25">
      <c r="B40" s="80"/>
      <c r="C40" s="2"/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7"/>
    </row>
    <row r="41" spans="2:20" ht="14.25">
      <c r="B41" s="80"/>
      <c r="C41" s="2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7"/>
    </row>
    <row r="42" spans="2:20" ht="14.25">
      <c r="B42" s="80"/>
      <c r="C42" s="2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7"/>
    </row>
    <row r="43" spans="2:20" ht="15" thickBot="1">
      <c r="B43" s="80"/>
      <c r="C43" s="2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8"/>
    </row>
    <row r="44" spans="2:21" ht="15" thickBot="1">
      <c r="B44" s="81"/>
      <c r="C44" s="5" t="s">
        <v>5</v>
      </c>
      <c r="D44" s="20"/>
      <c r="E44" s="31">
        <f>SUM(E37:E43)</f>
        <v>4157000</v>
      </c>
      <c r="F44" s="31">
        <f aca="true" t="shared" si="12" ref="F44:S44">SUM(F37:F43)</f>
        <v>4157400</v>
      </c>
      <c r="G44" s="31">
        <f t="shared" si="12"/>
        <v>166296</v>
      </c>
      <c r="H44" s="34">
        <f t="shared" si="12"/>
        <v>3894786</v>
      </c>
      <c r="I44" s="9">
        <f t="shared" si="12"/>
        <v>148474.61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0</v>
      </c>
      <c r="P44" s="29">
        <f t="shared" si="12"/>
        <v>3894786</v>
      </c>
      <c r="Q44" s="29">
        <f t="shared" si="12"/>
        <v>148474.61</v>
      </c>
      <c r="R44" s="29">
        <f t="shared" si="12"/>
        <v>262614</v>
      </c>
      <c r="S44" s="29">
        <f t="shared" si="12"/>
        <v>17821.390000000014</v>
      </c>
      <c r="T44" s="29">
        <f>SUM(T37:T43)</f>
        <v>262214</v>
      </c>
      <c r="U44" s="69"/>
    </row>
    <row r="45" spans="2:21" ht="16.5" thickBot="1">
      <c r="B45" s="77" t="s">
        <v>18</v>
      </c>
      <c r="C45" s="78"/>
      <c r="D45" s="78"/>
      <c r="E45" s="32">
        <f>SUM(E12+E20+E28+E36+E44)</f>
        <v>4520000</v>
      </c>
      <c r="F45" s="32">
        <f aca="true" t="shared" si="13" ref="F45:S45">SUM(F12+F20+F28+F36+F44)</f>
        <v>4522500</v>
      </c>
      <c r="G45" s="32">
        <f t="shared" si="13"/>
        <v>180900</v>
      </c>
      <c r="H45" s="32">
        <f t="shared" si="13"/>
        <v>4015185.94</v>
      </c>
      <c r="I45" s="32">
        <f t="shared" si="13"/>
        <v>153064.40999999997</v>
      </c>
      <c r="J45" s="32">
        <f t="shared" si="13"/>
        <v>26395.42</v>
      </c>
      <c r="K45" s="32">
        <f t="shared" si="13"/>
        <v>1047.37</v>
      </c>
      <c r="L45" s="32">
        <f t="shared" si="13"/>
        <v>0</v>
      </c>
      <c r="M45" s="32">
        <f t="shared" si="13"/>
        <v>0</v>
      </c>
      <c r="N45" s="32">
        <f t="shared" si="13"/>
        <v>0</v>
      </c>
      <c r="O45" s="32">
        <f t="shared" si="13"/>
        <v>0</v>
      </c>
      <c r="P45" s="32">
        <f t="shared" si="13"/>
        <v>4041581.36</v>
      </c>
      <c r="Q45" s="32">
        <f t="shared" si="13"/>
        <v>154111.78</v>
      </c>
      <c r="R45" s="32">
        <f t="shared" si="13"/>
        <v>480918.64</v>
      </c>
      <c r="S45" s="32">
        <f t="shared" si="13"/>
        <v>26788.220000000016</v>
      </c>
      <c r="T45" s="32">
        <f>SUM(T12+T20+T28+T36+T44)</f>
        <v>478418.64</v>
      </c>
      <c r="U45" s="70"/>
    </row>
    <row r="46" spans="2:20" s="60" customFormat="1" ht="15" thickBot="1">
      <c r="B46" s="82" t="s">
        <v>126</v>
      </c>
      <c r="C46" s="83"/>
      <c r="D46" s="84"/>
      <c r="E46" s="58">
        <f>E45*0.85</f>
        <v>3842000</v>
      </c>
      <c r="F46" s="58">
        <f aca="true" t="shared" si="14" ref="F46:K46">F45*0.85</f>
        <v>3844125</v>
      </c>
      <c r="G46" s="58">
        <f t="shared" si="14"/>
        <v>153765</v>
      </c>
      <c r="H46" s="58">
        <f t="shared" si="14"/>
        <v>3412908.0489999996</v>
      </c>
      <c r="I46" s="59">
        <f t="shared" si="14"/>
        <v>130104.74849999997</v>
      </c>
      <c r="J46" s="58">
        <f t="shared" si="14"/>
        <v>22436.106999999996</v>
      </c>
      <c r="K46" s="59">
        <f t="shared" si="14"/>
        <v>890.2644999999999</v>
      </c>
      <c r="L46" s="58"/>
      <c r="M46" s="58"/>
      <c r="N46" s="58"/>
      <c r="O46" s="58"/>
      <c r="P46" s="62">
        <f aca="true" t="shared" si="15" ref="P46:Q48">H46+J46+L46+N46</f>
        <v>3435344.1559999995</v>
      </c>
      <c r="Q46" s="62">
        <f t="shared" si="15"/>
        <v>130995.01299999998</v>
      </c>
      <c r="R46" s="62">
        <f aca="true" t="shared" si="16" ref="R46:S48">F46-P46</f>
        <v>408780.8440000005</v>
      </c>
      <c r="S46" s="62">
        <f t="shared" si="16"/>
        <v>22769.987000000023</v>
      </c>
      <c r="T46" s="62">
        <f>E46-P46</f>
        <v>406655.8440000005</v>
      </c>
    </row>
    <row r="47" spans="2:20" s="60" customFormat="1" ht="15" thickBot="1">
      <c r="B47" s="85" t="s">
        <v>127</v>
      </c>
      <c r="C47" s="86"/>
      <c r="D47" s="87"/>
      <c r="E47" s="61">
        <f>E45*0.15</f>
        <v>678000</v>
      </c>
      <c r="F47" s="61">
        <f aca="true" t="shared" si="17" ref="F47:K47">F45*0.15</f>
        <v>678375</v>
      </c>
      <c r="G47" s="61">
        <f t="shared" si="17"/>
        <v>27135</v>
      </c>
      <c r="H47" s="61">
        <f t="shared" si="17"/>
        <v>602277.891</v>
      </c>
      <c r="I47" s="61">
        <f t="shared" si="17"/>
        <v>22959.661499999995</v>
      </c>
      <c r="J47" s="61">
        <f t="shared" si="17"/>
        <v>3959.3129999999996</v>
      </c>
      <c r="K47" s="61">
        <f t="shared" si="17"/>
        <v>157.10549999999998</v>
      </c>
      <c r="L47" s="61"/>
      <c r="M47" s="61"/>
      <c r="N47" s="61"/>
      <c r="O47" s="61"/>
      <c r="P47" s="68">
        <f t="shared" si="15"/>
        <v>606237.2039999999</v>
      </c>
      <c r="Q47" s="68">
        <f t="shared" si="15"/>
        <v>23116.766999999996</v>
      </c>
      <c r="R47" s="68">
        <f t="shared" si="16"/>
        <v>72137.79600000009</v>
      </c>
      <c r="S47" s="68">
        <f t="shared" si="16"/>
        <v>4018.233000000004</v>
      </c>
      <c r="T47" s="68">
        <f>E47-P47</f>
        <v>71762.79600000009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3844125</v>
      </c>
      <c r="G48" s="67">
        <f>G46</f>
        <v>153765</v>
      </c>
      <c r="H48" s="63">
        <v>3257692.58</v>
      </c>
      <c r="I48" s="63">
        <v>130104.74</v>
      </c>
      <c r="J48" s="63"/>
      <c r="K48" s="63"/>
      <c r="L48" s="63"/>
      <c r="M48" s="63"/>
      <c r="N48" s="63"/>
      <c r="O48" s="63"/>
      <c r="P48" s="64">
        <f t="shared" si="15"/>
        <v>3257692.58</v>
      </c>
      <c r="Q48" s="64">
        <f t="shared" si="15"/>
        <v>130104.74</v>
      </c>
      <c r="R48" s="64">
        <f t="shared" si="16"/>
        <v>586432.4199999999</v>
      </c>
      <c r="S48" s="65">
        <f t="shared" si="16"/>
        <v>23660.259999999995</v>
      </c>
      <c r="T48" s="65"/>
    </row>
    <row r="49" ht="14.25" thickBot="1" thickTop="1"/>
    <row r="50" spans="3:20" ht="12.75" customHeight="1">
      <c r="C50" s="112" t="s">
        <v>174</v>
      </c>
      <c r="D50" s="113"/>
      <c r="E50" s="114">
        <f aca="true" t="shared" si="18" ref="E50:M50">SUM(E12+E20+E28+E36)</f>
        <v>363000</v>
      </c>
      <c r="F50" s="114">
        <f t="shared" si="18"/>
        <v>365100</v>
      </c>
      <c r="G50" s="114">
        <f t="shared" si="18"/>
        <v>14604</v>
      </c>
      <c r="H50" s="114">
        <f t="shared" si="18"/>
        <v>120399.94</v>
      </c>
      <c r="I50" s="114">
        <f t="shared" si="18"/>
        <v>4589.8</v>
      </c>
      <c r="J50" s="114">
        <f t="shared" si="18"/>
        <v>26395.42</v>
      </c>
      <c r="K50" s="114">
        <f t="shared" si="18"/>
        <v>1047.37</v>
      </c>
      <c r="L50" s="114">
        <f t="shared" si="18"/>
        <v>0</v>
      </c>
      <c r="M50" s="114">
        <f t="shared" si="18"/>
        <v>0</v>
      </c>
      <c r="N50" s="115"/>
      <c r="O50" s="115"/>
      <c r="P50" s="114">
        <f>SUM(H50+J50+L50)</f>
        <v>146795.36</v>
      </c>
      <c r="Q50" s="114">
        <f>SUM(Q12+Q20+Q28+Q36)</f>
        <v>5637.17</v>
      </c>
      <c r="R50" s="114">
        <f>SUM(R12+R20+R28+R36)</f>
        <v>218304.64</v>
      </c>
      <c r="S50" s="114">
        <f>SUM(S12+S20+S28+S36)</f>
        <v>8966.830000000002</v>
      </c>
      <c r="T50" s="116">
        <f>SUM(E50-P50)</f>
        <v>216204.64</v>
      </c>
    </row>
    <row r="51" spans="3:20" ht="13.5" customHeight="1" thickBot="1">
      <c r="C51" s="117" t="s">
        <v>175</v>
      </c>
      <c r="D51" s="118"/>
      <c r="E51" s="119">
        <f>SUM(E44)</f>
        <v>4157000</v>
      </c>
      <c r="F51" s="119">
        <f aca="true" t="shared" si="19" ref="F51:T51">SUM(F44)</f>
        <v>4157400</v>
      </c>
      <c r="G51" s="119">
        <f t="shared" si="19"/>
        <v>166296</v>
      </c>
      <c r="H51" s="119">
        <f t="shared" si="19"/>
        <v>3894786</v>
      </c>
      <c r="I51" s="119">
        <f t="shared" si="19"/>
        <v>148474.61</v>
      </c>
      <c r="J51" s="119">
        <f t="shared" si="19"/>
        <v>0</v>
      </c>
      <c r="K51" s="119">
        <f t="shared" si="19"/>
        <v>0</v>
      </c>
      <c r="L51" s="119">
        <f t="shared" si="19"/>
        <v>0</v>
      </c>
      <c r="M51" s="119">
        <f t="shared" si="19"/>
        <v>0</v>
      </c>
      <c r="N51" s="119">
        <f t="shared" si="19"/>
        <v>0</v>
      </c>
      <c r="O51" s="119">
        <f t="shared" si="19"/>
        <v>0</v>
      </c>
      <c r="P51" s="119">
        <f t="shared" si="19"/>
        <v>3894786</v>
      </c>
      <c r="Q51" s="119">
        <f t="shared" si="19"/>
        <v>148474.61</v>
      </c>
      <c r="R51" s="119">
        <f t="shared" si="19"/>
        <v>262614</v>
      </c>
      <c r="S51" s="119">
        <f t="shared" si="19"/>
        <v>17821.390000000014</v>
      </c>
      <c r="T51" s="120">
        <f t="shared" si="19"/>
        <v>262214</v>
      </c>
    </row>
  </sheetData>
  <sheetProtection/>
  <mergeCells count="29">
    <mergeCell ref="C50:D50"/>
    <mergeCell ref="C51:D51"/>
    <mergeCell ref="B1:R1"/>
    <mergeCell ref="C2:C4"/>
    <mergeCell ref="D2:D4"/>
    <mergeCell ref="B48:D48"/>
    <mergeCell ref="B46:D46"/>
    <mergeCell ref="B47:D47"/>
    <mergeCell ref="B45:D45"/>
    <mergeCell ref="B29:B36"/>
    <mergeCell ref="R2:S2"/>
    <mergeCell ref="H3:I3"/>
    <mergeCell ref="B37:B44"/>
    <mergeCell ref="B5:B12"/>
    <mergeCell ref="H2:O2"/>
    <mergeCell ref="B13:B20"/>
    <mergeCell ref="B21:B28"/>
    <mergeCell ref="J3:K3"/>
    <mergeCell ref="L3:M3"/>
    <mergeCell ref="N3:O3"/>
    <mergeCell ref="E2:E4"/>
    <mergeCell ref="S3:S4"/>
    <mergeCell ref="T2:T4"/>
    <mergeCell ref="F2:G2"/>
    <mergeCell ref="F3:F4"/>
    <mergeCell ref="G3:G4"/>
    <mergeCell ref="P2:P4"/>
    <mergeCell ref="Q2:Q4"/>
    <mergeCell ref="R3:R4"/>
  </mergeCells>
  <printOptions/>
  <pageMargins left="0.17" right="0.16" top="0.7874015748031497" bottom="0.7874015748031497" header="0.31496062992125984" footer="0.31496062992125984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zoomScalePageLayoutView="0" workbookViewId="0" topLeftCell="A7">
      <selection activeCell="A52" sqref="A52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60.00390625" style="0" customWidth="1"/>
    <col min="5" max="5" width="18.7109375" style="0" customWidth="1"/>
    <col min="6" max="6" width="16.00390625" style="0" customWidth="1"/>
    <col min="7" max="7" width="13.7109375" style="0" customWidth="1"/>
    <col min="8" max="8" width="15.57421875" style="0" customWidth="1"/>
    <col min="9" max="13" width="13.7109375" style="0" customWidth="1"/>
    <col min="14" max="15" width="13.7109375" style="0" hidden="1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8515625" style="0" customWidth="1"/>
  </cols>
  <sheetData>
    <row r="1" spans="2:18" ht="26.25" customHeight="1" thickBot="1">
      <c r="B1" s="100" t="s">
        <v>41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130</v>
      </c>
      <c r="R2" s="94" t="s">
        <v>133</v>
      </c>
      <c r="S2" s="95"/>
      <c r="T2" s="91" t="s">
        <v>135</v>
      </c>
    </row>
    <row r="3" spans="2:20" ht="16.5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6</v>
      </c>
      <c r="E5" s="26">
        <v>5000</v>
      </c>
      <c r="F5" s="26">
        <f>G5*25</f>
        <v>4500</v>
      </c>
      <c r="G5" s="26">
        <v>180</v>
      </c>
      <c r="H5" s="22"/>
      <c r="I5" s="6"/>
      <c r="J5" s="6"/>
      <c r="K5" s="6"/>
      <c r="L5" s="6"/>
      <c r="M5" s="6"/>
      <c r="N5" s="6"/>
      <c r="O5" s="10"/>
      <c r="P5" s="26">
        <f aca="true" t="shared" si="0" ref="P5:Q7">H5+J5+L5+N5</f>
        <v>0</v>
      </c>
      <c r="Q5" s="26">
        <f t="shared" si="0"/>
        <v>0</v>
      </c>
      <c r="R5" s="26">
        <f aca="true" t="shared" si="1" ref="R5:S7">F5-P5</f>
        <v>4500</v>
      </c>
      <c r="S5" s="26">
        <f t="shared" si="1"/>
        <v>180</v>
      </c>
      <c r="T5" s="26">
        <f>E5-P5</f>
        <v>5000</v>
      </c>
    </row>
    <row r="6" spans="2:20" ht="14.25">
      <c r="B6" s="80"/>
      <c r="C6" s="39" t="s">
        <v>137</v>
      </c>
      <c r="D6" s="18" t="s">
        <v>42</v>
      </c>
      <c r="E6" s="27">
        <v>13000</v>
      </c>
      <c r="F6" s="27">
        <f>G6*25</f>
        <v>12150</v>
      </c>
      <c r="G6" s="27">
        <v>486</v>
      </c>
      <c r="H6" s="23"/>
      <c r="I6" s="7"/>
      <c r="J6" s="7">
        <f>2112.42+1348.97+1313.62+609.25</f>
        <v>5384.26</v>
      </c>
      <c r="K6" s="7">
        <f>82.52+130.68</f>
        <v>213.2</v>
      </c>
      <c r="L6" s="7"/>
      <c r="M6" s="7"/>
      <c r="N6" s="7"/>
      <c r="O6" s="11"/>
      <c r="P6" s="26">
        <f t="shared" si="0"/>
        <v>5384.26</v>
      </c>
      <c r="Q6" s="26">
        <f t="shared" si="0"/>
        <v>213.2</v>
      </c>
      <c r="R6" s="26">
        <f t="shared" si="1"/>
        <v>6765.74</v>
      </c>
      <c r="S6" s="26">
        <f t="shared" si="1"/>
        <v>272.8</v>
      </c>
      <c r="T6" s="26">
        <f>E6-P6</f>
        <v>7615.74</v>
      </c>
    </row>
    <row r="7" spans="2:20" ht="14.25">
      <c r="B7" s="80"/>
      <c r="C7" s="39" t="s">
        <v>138</v>
      </c>
      <c r="D7" s="18" t="s">
        <v>43</v>
      </c>
      <c r="E7" s="27">
        <v>68000</v>
      </c>
      <c r="F7" s="27">
        <f>G7*25</f>
        <v>67500</v>
      </c>
      <c r="G7" s="27">
        <v>2700</v>
      </c>
      <c r="H7" s="23">
        <v>9206.73</v>
      </c>
      <c r="I7" s="7">
        <v>366</v>
      </c>
      <c r="J7" s="7"/>
      <c r="K7" s="7"/>
      <c r="L7" s="7"/>
      <c r="M7" s="7"/>
      <c r="N7" s="7"/>
      <c r="O7" s="11"/>
      <c r="P7" s="26">
        <f t="shared" si="0"/>
        <v>9206.73</v>
      </c>
      <c r="Q7" s="26">
        <f t="shared" si="0"/>
        <v>366</v>
      </c>
      <c r="R7" s="26">
        <f t="shared" si="1"/>
        <v>58293.270000000004</v>
      </c>
      <c r="S7" s="26">
        <f t="shared" si="1"/>
        <v>2334</v>
      </c>
      <c r="T7" s="26">
        <f>E7-P7</f>
        <v>58793.270000000004</v>
      </c>
    </row>
    <row r="8" spans="2:20" ht="14.25">
      <c r="B8" s="80"/>
      <c r="C8" s="39" t="s">
        <v>139</v>
      </c>
      <c r="D8" s="18"/>
      <c r="E8" s="27"/>
      <c r="F8" s="27"/>
      <c r="G8" s="27"/>
      <c r="H8" s="23"/>
      <c r="I8" s="7"/>
      <c r="J8" s="7"/>
      <c r="K8" s="7"/>
      <c r="L8" s="7"/>
      <c r="M8" s="7"/>
      <c r="N8" s="7"/>
      <c r="O8" s="11"/>
      <c r="P8" s="27"/>
      <c r="Q8" s="27"/>
      <c r="R8" s="27"/>
      <c r="S8" s="27"/>
      <c r="T8" s="27"/>
    </row>
    <row r="9" spans="2:20" ht="14.25">
      <c r="B9" s="80"/>
      <c r="C9" s="39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7"/>
    </row>
    <row r="10" spans="2:20" ht="14.25">
      <c r="B10" s="80"/>
      <c r="C10" s="39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7"/>
    </row>
    <row r="11" spans="2:20" ht="15" thickBot="1">
      <c r="B11" s="80"/>
      <c r="C11" s="39" t="s">
        <v>142</v>
      </c>
      <c r="D11" s="19"/>
      <c r="E11" s="28"/>
      <c r="F11" s="28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8"/>
    </row>
    <row r="12" spans="2:20" ht="15" thickBot="1">
      <c r="B12" s="81"/>
      <c r="C12" s="16" t="s">
        <v>5</v>
      </c>
      <c r="D12" s="20"/>
      <c r="E12" s="29">
        <f>SUM(E5:E11)</f>
        <v>86000</v>
      </c>
      <c r="F12" s="29">
        <f aca="true" t="shared" si="2" ref="F12:T12">SUM(F5:F11)</f>
        <v>84150</v>
      </c>
      <c r="G12" s="29">
        <f t="shared" si="2"/>
        <v>3366</v>
      </c>
      <c r="H12" s="25">
        <f t="shared" si="2"/>
        <v>9206.73</v>
      </c>
      <c r="I12" s="9">
        <f t="shared" si="2"/>
        <v>366</v>
      </c>
      <c r="J12" s="9">
        <f t="shared" si="2"/>
        <v>5384.26</v>
      </c>
      <c r="K12" s="9">
        <f t="shared" si="2"/>
        <v>213.2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29">
        <f t="shared" si="2"/>
        <v>14590.99</v>
      </c>
      <c r="Q12" s="29">
        <f t="shared" si="2"/>
        <v>579.2</v>
      </c>
      <c r="R12" s="29">
        <f t="shared" si="2"/>
        <v>69559.01000000001</v>
      </c>
      <c r="S12" s="29">
        <f t="shared" si="2"/>
        <v>2786.8</v>
      </c>
      <c r="T12" s="29">
        <f t="shared" si="2"/>
        <v>71409.01000000001</v>
      </c>
    </row>
    <row r="13" spans="2:20" ht="14.25" customHeight="1">
      <c r="B13" s="79" t="s">
        <v>9</v>
      </c>
      <c r="C13" s="39" t="s">
        <v>143</v>
      </c>
      <c r="D13" s="17" t="s">
        <v>44</v>
      </c>
      <c r="E13" s="26">
        <v>7000</v>
      </c>
      <c r="F13" s="26">
        <f>G13*25</f>
        <v>6975</v>
      </c>
      <c r="G13" s="26">
        <v>279</v>
      </c>
      <c r="H13" s="22">
        <v>7000</v>
      </c>
      <c r="I13" s="6">
        <v>266.85</v>
      </c>
      <c r="J13" s="6"/>
      <c r="K13" s="6"/>
      <c r="L13" s="6"/>
      <c r="M13" s="6"/>
      <c r="N13" s="6"/>
      <c r="O13" s="10"/>
      <c r="P13" s="26">
        <f>H13+J13+L13+N13</f>
        <v>7000</v>
      </c>
      <c r="Q13" s="26">
        <f>I13+K13+M13+O13</f>
        <v>266.85</v>
      </c>
      <c r="R13" s="26">
        <f>F13-P13</f>
        <v>-25</v>
      </c>
      <c r="S13" s="26">
        <f>G13-Q13</f>
        <v>12.149999999999977</v>
      </c>
      <c r="T13" s="26">
        <f>E13-P13</f>
        <v>0</v>
      </c>
    </row>
    <row r="14" spans="2:20" ht="14.25">
      <c r="B14" s="80"/>
      <c r="C14" s="39" t="s">
        <v>144</v>
      </c>
      <c r="D14" s="18"/>
      <c r="E14" s="27"/>
      <c r="F14" s="27"/>
      <c r="G14" s="27"/>
      <c r="H14" s="23"/>
      <c r="I14" s="7"/>
      <c r="J14" s="7"/>
      <c r="K14" s="7"/>
      <c r="L14" s="7"/>
      <c r="M14" s="7"/>
      <c r="N14" s="7"/>
      <c r="O14" s="11"/>
      <c r="P14" s="26">
        <f aca="true" t="shared" si="3" ref="P14:Q17">H14+J14+L14+N14</f>
        <v>0</v>
      </c>
      <c r="Q14" s="26">
        <f t="shared" si="3"/>
        <v>0</v>
      </c>
      <c r="R14" s="26">
        <f aca="true" t="shared" si="4" ref="R14:S17">F14-P14</f>
        <v>0</v>
      </c>
      <c r="S14" s="26">
        <f t="shared" si="4"/>
        <v>0</v>
      </c>
      <c r="T14" s="26">
        <f>E14-P14</f>
        <v>0</v>
      </c>
    </row>
    <row r="15" spans="2:20" ht="14.25">
      <c r="B15" s="80"/>
      <c r="C15" s="39" t="s">
        <v>145</v>
      </c>
      <c r="D15" s="18"/>
      <c r="E15" s="27"/>
      <c r="F15" s="27"/>
      <c r="G15" s="27"/>
      <c r="H15" s="23"/>
      <c r="I15" s="7"/>
      <c r="J15" s="7"/>
      <c r="K15" s="7"/>
      <c r="L15" s="7"/>
      <c r="M15" s="7"/>
      <c r="N15" s="7"/>
      <c r="O15" s="11"/>
      <c r="P15" s="26">
        <f t="shared" si="3"/>
        <v>0</v>
      </c>
      <c r="Q15" s="26">
        <f t="shared" si="3"/>
        <v>0</v>
      </c>
      <c r="R15" s="26">
        <f t="shared" si="4"/>
        <v>0</v>
      </c>
      <c r="S15" s="26">
        <f t="shared" si="4"/>
        <v>0</v>
      </c>
      <c r="T15" s="26">
        <f>E15-P15</f>
        <v>0</v>
      </c>
    </row>
    <row r="16" spans="2:20" ht="14.25">
      <c r="B16" s="80"/>
      <c r="C16" s="39" t="s">
        <v>146</v>
      </c>
      <c r="D16" s="18"/>
      <c r="E16" s="27"/>
      <c r="F16" s="27"/>
      <c r="G16" s="27"/>
      <c r="H16" s="23"/>
      <c r="I16" s="7"/>
      <c r="J16" s="7"/>
      <c r="K16" s="7"/>
      <c r="L16" s="7"/>
      <c r="M16" s="7"/>
      <c r="N16" s="7"/>
      <c r="O16" s="11"/>
      <c r="P16" s="26">
        <f t="shared" si="3"/>
        <v>0</v>
      </c>
      <c r="Q16" s="26">
        <f t="shared" si="3"/>
        <v>0</v>
      </c>
      <c r="R16" s="26">
        <f t="shared" si="4"/>
        <v>0</v>
      </c>
      <c r="S16" s="26">
        <f t="shared" si="4"/>
        <v>0</v>
      </c>
      <c r="T16" s="26">
        <f>E16-P16</f>
        <v>0</v>
      </c>
    </row>
    <row r="17" spans="2:20" ht="14.25">
      <c r="B17" s="80"/>
      <c r="C17" s="39" t="s">
        <v>147</v>
      </c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>
        <f t="shared" si="3"/>
        <v>0</v>
      </c>
      <c r="Q17" s="26">
        <f t="shared" si="3"/>
        <v>0</v>
      </c>
      <c r="R17" s="26">
        <f t="shared" si="4"/>
        <v>0</v>
      </c>
      <c r="S17" s="26">
        <f t="shared" si="4"/>
        <v>0</v>
      </c>
      <c r="T17" s="26">
        <f>E17-P17</f>
        <v>0</v>
      </c>
    </row>
    <row r="18" spans="2:20" ht="14.25">
      <c r="B18" s="80"/>
      <c r="C18" s="39" t="s">
        <v>148</v>
      </c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39" t="s">
        <v>149</v>
      </c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8"/>
    </row>
    <row r="20" spans="2:20" ht="15" thickBot="1">
      <c r="B20" s="81"/>
      <c r="C20" s="16" t="s">
        <v>5</v>
      </c>
      <c r="D20" s="20"/>
      <c r="E20" s="29">
        <f>SUM(E13:E19)</f>
        <v>7000</v>
      </c>
      <c r="F20" s="29">
        <f aca="true" t="shared" si="5" ref="F20:T20">SUM(F13:F19)</f>
        <v>6975</v>
      </c>
      <c r="G20" s="29">
        <f t="shared" si="5"/>
        <v>279</v>
      </c>
      <c r="H20" s="25">
        <f t="shared" si="5"/>
        <v>7000</v>
      </c>
      <c r="I20" s="9">
        <f t="shared" si="5"/>
        <v>266.85</v>
      </c>
      <c r="J20" s="9">
        <f t="shared" si="5"/>
        <v>0</v>
      </c>
      <c r="K20" s="9">
        <f t="shared" si="5"/>
        <v>0</v>
      </c>
      <c r="L20" s="9">
        <f t="shared" si="5"/>
        <v>0</v>
      </c>
      <c r="M20" s="9">
        <f t="shared" si="5"/>
        <v>0</v>
      </c>
      <c r="N20" s="9">
        <f t="shared" si="5"/>
        <v>0</v>
      </c>
      <c r="O20" s="9">
        <f t="shared" si="5"/>
        <v>0</v>
      </c>
      <c r="P20" s="29">
        <f t="shared" si="5"/>
        <v>7000</v>
      </c>
      <c r="Q20" s="29">
        <f t="shared" si="5"/>
        <v>266.85</v>
      </c>
      <c r="R20" s="29">
        <f t="shared" si="5"/>
        <v>-25</v>
      </c>
      <c r="S20" s="29">
        <f t="shared" si="5"/>
        <v>12.149999999999977</v>
      </c>
      <c r="T20" s="29">
        <f t="shared" si="5"/>
        <v>0</v>
      </c>
    </row>
    <row r="21" spans="2:20" ht="14.25">
      <c r="B21" s="79" t="s">
        <v>15</v>
      </c>
      <c r="C21" s="39" t="s">
        <v>150</v>
      </c>
      <c r="D21" s="17" t="s">
        <v>19</v>
      </c>
      <c r="E21" s="26">
        <v>25000</v>
      </c>
      <c r="F21" s="26">
        <f>G21*25</f>
        <v>25000</v>
      </c>
      <c r="G21" s="26">
        <v>1000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6" ref="P21:Q23">H21+J21+L21+N21</f>
        <v>0</v>
      </c>
      <c r="Q21" s="26">
        <f t="shared" si="6"/>
        <v>0</v>
      </c>
      <c r="R21" s="26">
        <f aca="true" t="shared" si="7" ref="R21:S23">F21-P21</f>
        <v>25000</v>
      </c>
      <c r="S21" s="26">
        <f t="shared" si="7"/>
        <v>1000</v>
      </c>
      <c r="T21" s="26">
        <f>E21-P21</f>
        <v>25000</v>
      </c>
    </row>
    <row r="22" spans="2:20" ht="14.25">
      <c r="B22" s="80"/>
      <c r="C22" s="39" t="s">
        <v>151</v>
      </c>
      <c r="D22" s="18" t="s">
        <v>20</v>
      </c>
      <c r="E22" s="27">
        <v>12500</v>
      </c>
      <c r="F22" s="27">
        <f>G22*25</f>
        <v>12500</v>
      </c>
      <c r="G22" s="27">
        <v>500</v>
      </c>
      <c r="H22" s="23"/>
      <c r="I22" s="7"/>
      <c r="J22" s="7"/>
      <c r="K22" s="7"/>
      <c r="L22" s="7"/>
      <c r="M22" s="7"/>
      <c r="N22" s="7"/>
      <c r="O22" s="11"/>
      <c r="P22" s="26">
        <f t="shared" si="6"/>
        <v>0</v>
      </c>
      <c r="Q22" s="26">
        <f t="shared" si="6"/>
        <v>0</v>
      </c>
      <c r="R22" s="26">
        <f t="shared" si="7"/>
        <v>12500</v>
      </c>
      <c r="S22" s="26">
        <f t="shared" si="7"/>
        <v>500</v>
      </c>
      <c r="T22" s="26">
        <f>E22-P22</f>
        <v>12500</v>
      </c>
    </row>
    <row r="23" spans="2:20" ht="14.25">
      <c r="B23" s="80"/>
      <c r="C23" s="39" t="s">
        <v>152</v>
      </c>
      <c r="D23" s="18" t="s">
        <v>132</v>
      </c>
      <c r="E23" s="27">
        <v>12500</v>
      </c>
      <c r="F23" s="27">
        <f>G23*25</f>
        <v>12500</v>
      </c>
      <c r="G23" s="27">
        <v>500</v>
      </c>
      <c r="H23" s="23"/>
      <c r="I23" s="7"/>
      <c r="J23" s="7">
        <f>240+12500</f>
        <v>12740</v>
      </c>
      <c r="K23" s="7">
        <f>9.69+495.25</f>
        <v>504.94</v>
      </c>
      <c r="L23" s="7"/>
      <c r="M23" s="7"/>
      <c r="N23" s="7"/>
      <c r="O23" s="11"/>
      <c r="P23" s="26">
        <f t="shared" si="6"/>
        <v>12740</v>
      </c>
      <c r="Q23" s="26">
        <f t="shared" si="6"/>
        <v>504.94</v>
      </c>
      <c r="R23" s="26">
        <f t="shared" si="7"/>
        <v>-240</v>
      </c>
      <c r="S23" s="26">
        <f t="shared" si="7"/>
        <v>-4.939999999999998</v>
      </c>
      <c r="T23" s="26">
        <f>E23-P23</f>
        <v>-240</v>
      </c>
    </row>
    <row r="24" spans="2:20" ht="14.25">
      <c r="B24" s="80"/>
      <c r="C24" s="39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7"/>
    </row>
    <row r="25" spans="2:20" ht="14.25">
      <c r="B25" s="80"/>
      <c r="C25" s="39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7"/>
    </row>
    <row r="26" spans="2:20" ht="14.25">
      <c r="B26" s="80"/>
      <c r="C26" s="39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7"/>
    </row>
    <row r="27" spans="2:20" ht="15" thickBot="1">
      <c r="B27" s="80"/>
      <c r="C27" s="39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8"/>
    </row>
    <row r="28" spans="2:20" ht="15" thickBot="1">
      <c r="B28" s="81"/>
      <c r="C28" s="16" t="s">
        <v>5</v>
      </c>
      <c r="D28" s="20"/>
      <c r="E28" s="29">
        <f>SUM(E21:E27)</f>
        <v>50000</v>
      </c>
      <c r="F28" s="29">
        <f aca="true" t="shared" si="8" ref="F28:T28">SUM(F21:F27)</f>
        <v>50000</v>
      </c>
      <c r="G28" s="29">
        <f t="shared" si="8"/>
        <v>2000</v>
      </c>
      <c r="H28" s="25">
        <f t="shared" si="8"/>
        <v>0</v>
      </c>
      <c r="I28" s="9">
        <f t="shared" si="8"/>
        <v>0</v>
      </c>
      <c r="J28" s="9">
        <f t="shared" si="8"/>
        <v>12740</v>
      </c>
      <c r="K28" s="9">
        <f t="shared" si="8"/>
        <v>504.94</v>
      </c>
      <c r="L28" s="9">
        <f t="shared" si="8"/>
        <v>0</v>
      </c>
      <c r="M28" s="9">
        <f t="shared" si="8"/>
        <v>0</v>
      </c>
      <c r="N28" s="9">
        <f t="shared" si="8"/>
        <v>0</v>
      </c>
      <c r="O28" s="9">
        <f t="shared" si="8"/>
        <v>0</v>
      </c>
      <c r="P28" s="29">
        <f t="shared" si="8"/>
        <v>12740</v>
      </c>
      <c r="Q28" s="29">
        <f t="shared" si="8"/>
        <v>504.94</v>
      </c>
      <c r="R28" s="29">
        <f t="shared" si="8"/>
        <v>37260</v>
      </c>
      <c r="S28" s="29">
        <f t="shared" si="8"/>
        <v>1495.06</v>
      </c>
      <c r="T28" s="29">
        <f t="shared" si="8"/>
        <v>37260</v>
      </c>
    </row>
    <row r="29" spans="2:20" ht="14.25">
      <c r="B29" s="79" t="s">
        <v>16</v>
      </c>
      <c r="C29" s="39" t="s">
        <v>45</v>
      </c>
      <c r="D29" s="17" t="s">
        <v>49</v>
      </c>
      <c r="E29" s="26">
        <v>270000</v>
      </c>
      <c r="F29" s="26">
        <f>G29*25</f>
        <v>270000</v>
      </c>
      <c r="G29" s="26">
        <v>10800</v>
      </c>
      <c r="H29" s="22"/>
      <c r="I29" s="6"/>
      <c r="J29" s="6">
        <v>14044</v>
      </c>
      <c r="K29" s="6">
        <v>556.42</v>
      </c>
      <c r="L29" s="6"/>
      <c r="M29" s="6"/>
      <c r="N29" s="6"/>
      <c r="O29" s="10"/>
      <c r="P29" s="26">
        <f aca="true" t="shared" si="9" ref="P29:Q31">H29+J29+L29+N29</f>
        <v>14044</v>
      </c>
      <c r="Q29" s="26">
        <f t="shared" si="9"/>
        <v>556.42</v>
      </c>
      <c r="R29" s="26">
        <f aca="true" t="shared" si="10" ref="R29:S31">F29-P29</f>
        <v>255956</v>
      </c>
      <c r="S29" s="26">
        <f t="shared" si="10"/>
        <v>10243.58</v>
      </c>
      <c r="T29" s="26">
        <f>E29-P29</f>
        <v>255956</v>
      </c>
    </row>
    <row r="30" spans="2:20" ht="14.25">
      <c r="B30" s="80"/>
      <c r="C30" s="39" t="s">
        <v>46</v>
      </c>
      <c r="D30" s="18" t="s">
        <v>50</v>
      </c>
      <c r="E30" s="27">
        <v>5000</v>
      </c>
      <c r="F30" s="27">
        <f>G30*25</f>
        <v>5000</v>
      </c>
      <c r="G30" s="27">
        <v>200</v>
      </c>
      <c r="H30" s="23"/>
      <c r="I30" s="7"/>
      <c r="J30" s="7"/>
      <c r="K30" s="7"/>
      <c r="L30" s="7"/>
      <c r="M30" s="7"/>
      <c r="N30" s="7"/>
      <c r="O30" s="11"/>
      <c r="P30" s="26">
        <f t="shared" si="9"/>
        <v>0</v>
      </c>
      <c r="Q30" s="26">
        <f t="shared" si="9"/>
        <v>0</v>
      </c>
      <c r="R30" s="26">
        <f t="shared" si="10"/>
        <v>5000</v>
      </c>
      <c r="S30" s="26">
        <f t="shared" si="10"/>
        <v>200</v>
      </c>
      <c r="T30" s="26">
        <f>E30-P30</f>
        <v>5000</v>
      </c>
    </row>
    <row r="31" spans="2:20" ht="14.25">
      <c r="B31" s="80"/>
      <c r="C31" s="39" t="s">
        <v>47</v>
      </c>
      <c r="D31" s="18" t="s">
        <v>51</v>
      </c>
      <c r="E31" s="27">
        <v>5000</v>
      </c>
      <c r="F31" s="27">
        <f>G31*25</f>
        <v>4375</v>
      </c>
      <c r="G31" s="27">
        <v>175</v>
      </c>
      <c r="H31" s="23"/>
      <c r="I31" s="7"/>
      <c r="J31" s="7"/>
      <c r="K31" s="7"/>
      <c r="L31" s="7"/>
      <c r="M31" s="7"/>
      <c r="N31" s="7"/>
      <c r="O31" s="11"/>
      <c r="P31" s="26">
        <f t="shared" si="9"/>
        <v>0</v>
      </c>
      <c r="Q31" s="26">
        <f t="shared" si="9"/>
        <v>0</v>
      </c>
      <c r="R31" s="26">
        <f t="shared" si="10"/>
        <v>4375</v>
      </c>
      <c r="S31" s="26">
        <f t="shared" si="10"/>
        <v>175</v>
      </c>
      <c r="T31" s="26">
        <f>E31-P31</f>
        <v>5000</v>
      </c>
    </row>
    <row r="32" spans="2:20" ht="14.25">
      <c r="B32" s="80"/>
      <c r="C32" s="39" t="s">
        <v>48</v>
      </c>
      <c r="D32" s="18" t="s">
        <v>52</v>
      </c>
      <c r="E32" s="27">
        <v>20000</v>
      </c>
      <c r="F32" s="27">
        <f>G32*25</f>
        <v>20000</v>
      </c>
      <c r="G32" s="27">
        <v>800</v>
      </c>
      <c r="H32" s="23"/>
      <c r="I32" s="7"/>
      <c r="J32" s="7">
        <f>6885+522</f>
        <v>7407</v>
      </c>
      <c r="K32" s="7">
        <f>272.78+20.68</f>
        <v>293.46</v>
      </c>
      <c r="L32" s="7"/>
      <c r="M32" s="7"/>
      <c r="N32" s="7"/>
      <c r="O32" s="11"/>
      <c r="P32" s="26">
        <f>H32+J32+L32+N32</f>
        <v>7407</v>
      </c>
      <c r="Q32" s="26">
        <f>I32+K32+M32+O32</f>
        <v>293.46</v>
      </c>
      <c r="R32" s="26">
        <f>F32-P32</f>
        <v>12593</v>
      </c>
      <c r="S32" s="26">
        <f>G32-Q32</f>
        <v>506.54</v>
      </c>
      <c r="T32" s="26">
        <f>E32-P32</f>
        <v>12593</v>
      </c>
    </row>
    <row r="33" spans="2:20" ht="14.25">
      <c r="B33" s="80"/>
      <c r="C33" s="39"/>
      <c r="D33" s="18"/>
      <c r="E33" s="27"/>
      <c r="F33" s="27"/>
      <c r="G33" s="27"/>
      <c r="H33" s="23"/>
      <c r="I33" s="7"/>
      <c r="J33" s="7"/>
      <c r="K33" s="7"/>
      <c r="L33" s="7"/>
      <c r="M33" s="7"/>
      <c r="N33" s="7"/>
      <c r="O33" s="11"/>
      <c r="P33" s="26"/>
      <c r="Q33" s="26"/>
      <c r="R33" s="26"/>
      <c r="S33" s="26"/>
      <c r="T33" s="26"/>
    </row>
    <row r="34" spans="2:20" ht="14.25">
      <c r="B34" s="80"/>
      <c r="C34" s="37"/>
      <c r="D34" s="18"/>
      <c r="E34" s="27"/>
      <c r="F34" s="27"/>
      <c r="G34" s="27"/>
      <c r="H34" s="23"/>
      <c r="I34" s="7"/>
      <c r="J34" s="7"/>
      <c r="K34" s="7"/>
      <c r="L34" s="7"/>
      <c r="M34" s="7"/>
      <c r="N34" s="7"/>
      <c r="O34" s="11"/>
      <c r="P34" s="27"/>
      <c r="Q34" s="27"/>
      <c r="R34" s="27"/>
      <c r="S34" s="27"/>
      <c r="T34" s="27"/>
    </row>
    <row r="35" spans="2:20" ht="15" thickBot="1">
      <c r="B35" s="80"/>
      <c r="C35" s="38"/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8"/>
    </row>
    <row r="36" spans="2:20" ht="15" thickBot="1">
      <c r="B36" s="81"/>
      <c r="C36" s="16" t="s">
        <v>5</v>
      </c>
      <c r="D36" s="20"/>
      <c r="E36" s="29">
        <f>SUM(E29:E35)</f>
        <v>300000</v>
      </c>
      <c r="F36" s="29">
        <f aca="true" t="shared" si="11" ref="F36:T36">SUM(F29:F35)</f>
        <v>299375</v>
      </c>
      <c r="G36" s="29">
        <f t="shared" si="11"/>
        <v>11975</v>
      </c>
      <c r="H36" s="25">
        <f t="shared" si="11"/>
        <v>0</v>
      </c>
      <c r="I36" s="9">
        <f t="shared" si="11"/>
        <v>0</v>
      </c>
      <c r="J36" s="9">
        <f t="shared" si="11"/>
        <v>21451</v>
      </c>
      <c r="K36" s="9">
        <f t="shared" si="11"/>
        <v>849.8799999999999</v>
      </c>
      <c r="L36" s="9">
        <f t="shared" si="11"/>
        <v>0</v>
      </c>
      <c r="M36" s="9">
        <f t="shared" si="11"/>
        <v>0</v>
      </c>
      <c r="N36" s="9">
        <f t="shared" si="11"/>
        <v>0</v>
      </c>
      <c r="O36" s="9">
        <f t="shared" si="11"/>
        <v>0</v>
      </c>
      <c r="P36" s="29">
        <f t="shared" si="11"/>
        <v>21451</v>
      </c>
      <c r="Q36" s="29">
        <f t="shared" si="11"/>
        <v>849.8799999999999</v>
      </c>
      <c r="R36" s="29">
        <f t="shared" si="11"/>
        <v>277924</v>
      </c>
      <c r="S36" s="29">
        <f t="shared" si="11"/>
        <v>11125.12</v>
      </c>
      <c r="T36" s="29">
        <f t="shared" si="11"/>
        <v>278549</v>
      </c>
    </row>
    <row r="37" spans="2:20" ht="14.25">
      <c r="B37" s="79" t="s">
        <v>17</v>
      </c>
      <c r="C37" s="39" t="s">
        <v>164</v>
      </c>
      <c r="D37" s="17" t="s">
        <v>85</v>
      </c>
      <c r="E37" s="26">
        <v>2450000</v>
      </c>
      <c r="F37" s="27">
        <f>G37*25</f>
        <v>2450000</v>
      </c>
      <c r="G37" s="26">
        <v>98000</v>
      </c>
      <c r="H37" s="22">
        <v>2406702</v>
      </c>
      <c r="I37" s="22">
        <v>91746.8</v>
      </c>
      <c r="J37" s="6"/>
      <c r="K37" s="6"/>
      <c r="L37" s="6"/>
      <c r="M37" s="6"/>
      <c r="N37" s="6"/>
      <c r="O37" s="10"/>
      <c r="P37" s="26">
        <f>H37+J37+L37+N37</f>
        <v>2406702</v>
      </c>
      <c r="Q37" s="26">
        <f>I37+K37+M37+O37</f>
        <v>91746.8</v>
      </c>
      <c r="R37" s="26">
        <f>F37-P37</f>
        <v>43298</v>
      </c>
      <c r="S37" s="26">
        <f>G37-Q37</f>
        <v>6253.199999999997</v>
      </c>
      <c r="T37" s="26">
        <f>E37-P37</f>
        <v>43298</v>
      </c>
    </row>
    <row r="38" spans="2:20" ht="14.25">
      <c r="B38" s="80"/>
      <c r="C38" s="3"/>
      <c r="D38" s="21" t="s">
        <v>84</v>
      </c>
      <c r="E38" s="30"/>
      <c r="F38" s="30"/>
      <c r="G38" s="27"/>
      <c r="H38" s="23"/>
      <c r="I38" s="23"/>
      <c r="J38" s="7"/>
      <c r="K38" s="7"/>
      <c r="L38" s="7"/>
      <c r="M38" s="7"/>
      <c r="N38" s="7"/>
      <c r="O38" s="11"/>
      <c r="P38" s="26"/>
      <c r="Q38" s="26"/>
      <c r="R38" s="26"/>
      <c r="S38" s="26"/>
      <c r="T38" s="26"/>
    </row>
    <row r="39" spans="2:20" ht="14.25">
      <c r="B39" s="80"/>
      <c r="C39" s="3"/>
      <c r="D39" s="18"/>
      <c r="E39" s="27"/>
      <c r="F39" s="27"/>
      <c r="G39" s="27"/>
      <c r="H39" s="23"/>
      <c r="I39" s="7"/>
      <c r="J39" s="7"/>
      <c r="K39" s="7"/>
      <c r="L39" s="7"/>
      <c r="M39" s="7"/>
      <c r="N39" s="7"/>
      <c r="O39" s="11"/>
      <c r="P39" s="26"/>
      <c r="Q39" s="26"/>
      <c r="R39" s="26"/>
      <c r="S39" s="26"/>
      <c r="T39" s="26"/>
    </row>
    <row r="40" spans="2:20" ht="14.25">
      <c r="B40" s="80"/>
      <c r="C40" s="3"/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7"/>
    </row>
    <row r="41" spans="2:20" ht="14.25">
      <c r="B41" s="80"/>
      <c r="C41" s="3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7"/>
    </row>
    <row r="42" spans="2:20" ht="14.25">
      <c r="B42" s="80"/>
      <c r="C42" s="3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7"/>
    </row>
    <row r="43" spans="2:20" ht="15" thickBot="1">
      <c r="B43" s="80"/>
      <c r="C43" s="4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8"/>
    </row>
    <row r="44" spans="2:20" ht="15" thickBot="1">
      <c r="B44" s="81"/>
      <c r="C44" s="5" t="s">
        <v>5</v>
      </c>
      <c r="D44" s="20"/>
      <c r="E44" s="31">
        <f>SUM(E37:E43)</f>
        <v>2450000</v>
      </c>
      <c r="F44" s="31">
        <f aca="true" t="shared" si="12" ref="F44:T44">SUM(F37:F43)</f>
        <v>2450000</v>
      </c>
      <c r="G44" s="31">
        <f t="shared" si="12"/>
        <v>98000</v>
      </c>
      <c r="H44" s="34">
        <f t="shared" si="12"/>
        <v>2406702</v>
      </c>
      <c r="I44" s="9">
        <f t="shared" si="12"/>
        <v>91746.8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0</v>
      </c>
      <c r="P44" s="29">
        <f t="shared" si="12"/>
        <v>2406702</v>
      </c>
      <c r="Q44" s="29">
        <f t="shared" si="12"/>
        <v>91746.8</v>
      </c>
      <c r="R44" s="29">
        <f t="shared" si="12"/>
        <v>43298</v>
      </c>
      <c r="S44" s="29">
        <f t="shared" si="12"/>
        <v>6253.199999999997</v>
      </c>
      <c r="T44" s="29">
        <f t="shared" si="12"/>
        <v>43298</v>
      </c>
    </row>
    <row r="45" spans="2:20" ht="16.5" thickBot="1">
      <c r="B45" s="77" t="s">
        <v>18</v>
      </c>
      <c r="C45" s="78"/>
      <c r="D45" s="78"/>
      <c r="E45" s="32">
        <f>SUM(E12+E20+E28+E36+E44)</f>
        <v>2893000</v>
      </c>
      <c r="F45" s="32">
        <f aca="true" t="shared" si="13" ref="F45:T45">SUM(F12+F20+F28+F36+F44)</f>
        <v>2890500</v>
      </c>
      <c r="G45" s="32">
        <f t="shared" si="13"/>
        <v>115620</v>
      </c>
      <c r="H45" s="32">
        <f t="shared" si="13"/>
        <v>2422908.73</v>
      </c>
      <c r="I45" s="32">
        <f t="shared" si="13"/>
        <v>92379.65000000001</v>
      </c>
      <c r="J45" s="32">
        <f t="shared" si="13"/>
        <v>39575.26</v>
      </c>
      <c r="K45" s="32">
        <f t="shared" si="13"/>
        <v>1568.02</v>
      </c>
      <c r="L45" s="32">
        <f t="shared" si="13"/>
        <v>0</v>
      </c>
      <c r="M45" s="32">
        <f t="shared" si="13"/>
        <v>0</v>
      </c>
      <c r="N45" s="32">
        <f t="shared" si="13"/>
        <v>0</v>
      </c>
      <c r="O45" s="32">
        <f t="shared" si="13"/>
        <v>0</v>
      </c>
      <c r="P45" s="32">
        <f t="shared" si="13"/>
        <v>2462483.99</v>
      </c>
      <c r="Q45" s="32">
        <f t="shared" si="13"/>
        <v>93947.67</v>
      </c>
      <c r="R45" s="32">
        <f t="shared" si="13"/>
        <v>428016.01</v>
      </c>
      <c r="S45" s="32">
        <f t="shared" si="13"/>
        <v>21672.329999999998</v>
      </c>
      <c r="T45" s="32">
        <f t="shared" si="13"/>
        <v>430516.01</v>
      </c>
    </row>
    <row r="46" spans="2:20" s="60" customFormat="1" ht="15" thickBot="1">
      <c r="B46" s="82" t="s">
        <v>126</v>
      </c>
      <c r="C46" s="83"/>
      <c r="D46" s="84"/>
      <c r="E46" s="58">
        <f>E45*0.85</f>
        <v>2459050</v>
      </c>
      <c r="F46" s="58">
        <f aca="true" t="shared" si="14" ref="F46:K46">F45*0.85</f>
        <v>2456925</v>
      </c>
      <c r="G46" s="58">
        <f t="shared" si="14"/>
        <v>98277</v>
      </c>
      <c r="H46" s="58">
        <f t="shared" si="14"/>
        <v>2059472.4205</v>
      </c>
      <c r="I46" s="59">
        <f t="shared" si="14"/>
        <v>78522.7025</v>
      </c>
      <c r="J46" s="58">
        <f t="shared" si="14"/>
        <v>33638.971</v>
      </c>
      <c r="K46" s="59">
        <f t="shared" si="14"/>
        <v>1332.817</v>
      </c>
      <c r="L46" s="58"/>
      <c r="M46" s="58"/>
      <c r="N46" s="58"/>
      <c r="O46" s="58"/>
      <c r="P46" s="62">
        <f aca="true" t="shared" si="15" ref="P46:Q48">H46+J46+L46+N46</f>
        <v>2093111.3915</v>
      </c>
      <c r="Q46" s="62">
        <f t="shared" si="15"/>
        <v>79855.5195</v>
      </c>
      <c r="R46" s="62">
        <f aca="true" t="shared" si="16" ref="R46:S48">F46-P46</f>
        <v>363813.6085000001</v>
      </c>
      <c r="S46" s="62">
        <f t="shared" si="16"/>
        <v>18421.480500000005</v>
      </c>
      <c r="T46" s="62">
        <f>E46-P46</f>
        <v>365938.6085000001</v>
      </c>
    </row>
    <row r="47" spans="2:20" s="60" customFormat="1" ht="15" thickBot="1">
      <c r="B47" s="85" t="s">
        <v>127</v>
      </c>
      <c r="C47" s="86"/>
      <c r="D47" s="87"/>
      <c r="E47" s="61">
        <f>E45*0.15</f>
        <v>433950</v>
      </c>
      <c r="F47" s="61">
        <f aca="true" t="shared" si="17" ref="F47:K47">F45*0.15</f>
        <v>433575</v>
      </c>
      <c r="G47" s="61">
        <f t="shared" si="17"/>
        <v>17343</v>
      </c>
      <c r="H47" s="61">
        <f t="shared" si="17"/>
        <v>363436.3095</v>
      </c>
      <c r="I47" s="61">
        <f t="shared" si="17"/>
        <v>13856.9475</v>
      </c>
      <c r="J47" s="61">
        <f t="shared" si="17"/>
        <v>5936.289</v>
      </c>
      <c r="K47" s="61">
        <f t="shared" si="17"/>
        <v>235.20299999999997</v>
      </c>
      <c r="L47" s="61"/>
      <c r="M47" s="61"/>
      <c r="N47" s="61"/>
      <c r="O47" s="61"/>
      <c r="P47" s="68">
        <f t="shared" si="15"/>
        <v>369372.59849999996</v>
      </c>
      <c r="Q47" s="68">
        <f t="shared" si="15"/>
        <v>14092.1505</v>
      </c>
      <c r="R47" s="68">
        <f t="shared" si="16"/>
        <v>64202.401500000036</v>
      </c>
      <c r="S47" s="68">
        <f t="shared" si="16"/>
        <v>3250.8495000000003</v>
      </c>
      <c r="T47" s="68">
        <f>E47-P47</f>
        <v>64577.401500000036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2456925</v>
      </c>
      <c r="G48" s="67">
        <f>G46</f>
        <v>98277</v>
      </c>
      <c r="H48" s="63">
        <v>1966129.89</v>
      </c>
      <c r="I48" s="63">
        <v>78522.7</v>
      </c>
      <c r="J48" s="63"/>
      <c r="K48" s="63"/>
      <c r="L48" s="63"/>
      <c r="M48" s="63"/>
      <c r="N48" s="63"/>
      <c r="O48" s="63"/>
      <c r="P48" s="64">
        <f t="shared" si="15"/>
        <v>1966129.89</v>
      </c>
      <c r="Q48" s="64">
        <f t="shared" si="15"/>
        <v>78522.7</v>
      </c>
      <c r="R48" s="64">
        <f t="shared" si="16"/>
        <v>490795.1100000001</v>
      </c>
      <c r="S48" s="65">
        <f t="shared" si="16"/>
        <v>19754.300000000003</v>
      </c>
      <c r="T48" s="65"/>
    </row>
    <row r="49" ht="14.25" thickBot="1" thickTop="1"/>
    <row r="50" spans="3:20" ht="12.75" customHeight="1">
      <c r="C50" s="112" t="s">
        <v>174</v>
      </c>
      <c r="D50" s="113"/>
      <c r="E50" s="114">
        <f>SUM(E12+E20+E28+E36)</f>
        <v>443000</v>
      </c>
      <c r="F50" s="114">
        <f aca="true" t="shared" si="18" ref="E50:M50">SUM(F12+F20+F28+F36)</f>
        <v>440500</v>
      </c>
      <c r="G50" s="114">
        <f t="shared" si="18"/>
        <v>17620</v>
      </c>
      <c r="H50" s="114">
        <f t="shared" si="18"/>
        <v>16206.73</v>
      </c>
      <c r="I50" s="114">
        <f t="shared" si="18"/>
        <v>632.85</v>
      </c>
      <c r="J50" s="114">
        <f t="shared" si="18"/>
        <v>39575.26</v>
      </c>
      <c r="K50" s="114">
        <f t="shared" si="18"/>
        <v>1568.02</v>
      </c>
      <c r="L50" s="114">
        <f t="shared" si="18"/>
        <v>0</v>
      </c>
      <c r="M50" s="114">
        <f t="shared" si="18"/>
        <v>0</v>
      </c>
      <c r="N50" s="115"/>
      <c r="O50" s="115"/>
      <c r="P50" s="114">
        <f>SUM(H50+J50+L50)</f>
        <v>55781.990000000005</v>
      </c>
      <c r="Q50" s="114">
        <f>SUM(Q12+Q20+Q28+Q36)</f>
        <v>2200.87</v>
      </c>
      <c r="R50" s="114">
        <f>SUM(R12+R20+R28+R36)</f>
        <v>384718.01</v>
      </c>
      <c r="S50" s="114">
        <f>SUM(S12+S20+S28+S36)</f>
        <v>15419.130000000001</v>
      </c>
      <c r="T50" s="116">
        <f>SUM(E50-P50)</f>
        <v>387218.01</v>
      </c>
    </row>
    <row r="51" spans="3:20" ht="13.5" customHeight="1" thickBot="1">
      <c r="C51" s="117" t="s">
        <v>175</v>
      </c>
      <c r="D51" s="118"/>
      <c r="E51" s="119">
        <f>SUM(E44)</f>
        <v>2450000</v>
      </c>
      <c r="F51" s="119">
        <f aca="true" t="shared" si="19" ref="F51:T51">SUM(F44)</f>
        <v>2450000</v>
      </c>
      <c r="G51" s="119">
        <f t="shared" si="19"/>
        <v>98000</v>
      </c>
      <c r="H51" s="119">
        <f t="shared" si="19"/>
        <v>2406702</v>
      </c>
      <c r="I51" s="119">
        <f t="shared" si="19"/>
        <v>91746.8</v>
      </c>
      <c r="J51" s="119">
        <f t="shared" si="19"/>
        <v>0</v>
      </c>
      <c r="K51" s="119">
        <f t="shared" si="19"/>
        <v>0</v>
      </c>
      <c r="L51" s="119">
        <f t="shared" si="19"/>
        <v>0</v>
      </c>
      <c r="M51" s="119">
        <f t="shared" si="19"/>
        <v>0</v>
      </c>
      <c r="N51" s="119">
        <f t="shared" si="19"/>
        <v>0</v>
      </c>
      <c r="O51" s="119">
        <f t="shared" si="19"/>
        <v>0</v>
      </c>
      <c r="P51" s="119">
        <f t="shared" si="19"/>
        <v>2406702</v>
      </c>
      <c r="Q51" s="119">
        <f t="shared" si="19"/>
        <v>91746.8</v>
      </c>
      <c r="R51" s="119">
        <f t="shared" si="19"/>
        <v>43298</v>
      </c>
      <c r="S51" s="119">
        <f>SUM(S44)</f>
        <v>6253.199999999997</v>
      </c>
      <c r="T51" s="120">
        <f t="shared" si="19"/>
        <v>43298</v>
      </c>
    </row>
  </sheetData>
  <sheetProtection/>
  <mergeCells count="29">
    <mergeCell ref="C50:D50"/>
    <mergeCell ref="C51:D51"/>
    <mergeCell ref="B29:B36"/>
    <mergeCell ref="Q2:Q4"/>
    <mergeCell ref="E2:E4"/>
    <mergeCell ref="B46:D46"/>
    <mergeCell ref="B47:D47"/>
    <mergeCell ref="B45:D45"/>
    <mergeCell ref="H2:O2"/>
    <mergeCell ref="B13:B20"/>
    <mergeCell ref="B21:B28"/>
    <mergeCell ref="B48:D48"/>
    <mergeCell ref="B5:B12"/>
    <mergeCell ref="B1:R1"/>
    <mergeCell ref="C2:C4"/>
    <mergeCell ref="D2:D4"/>
    <mergeCell ref="P2:P4"/>
    <mergeCell ref="B37:B44"/>
    <mergeCell ref="R2:S2"/>
    <mergeCell ref="R3:R4"/>
    <mergeCell ref="S3:S4"/>
    <mergeCell ref="T2:T4"/>
    <mergeCell ref="F2:G2"/>
    <mergeCell ref="F3:F4"/>
    <mergeCell ref="G3:G4"/>
    <mergeCell ref="H3:I3"/>
    <mergeCell ref="J3:K3"/>
    <mergeCell ref="L3:M3"/>
    <mergeCell ref="N3:O3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49" r:id="rId1"/>
  <ignoredErrors>
    <ignoredError sqref="C29 C30:C32" twoDigitTextYear="1"/>
    <ignoredError sqref="J4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2">
      <selection activeCell="C29" sqref="C29:C34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61.28125" style="0" customWidth="1"/>
    <col min="5" max="5" width="20.57421875" style="0" customWidth="1"/>
    <col min="6" max="6" width="16.00390625" style="0" customWidth="1"/>
    <col min="7" max="8" width="13.421875" style="0" customWidth="1"/>
    <col min="9" max="9" width="13.00390625" style="0" customWidth="1"/>
    <col min="10" max="10" width="15.421875" style="0" customWidth="1"/>
    <col min="11" max="11" width="13.57421875" style="0" customWidth="1"/>
    <col min="12" max="13" width="13.7109375" style="0" customWidth="1"/>
    <col min="14" max="15" width="13.7109375" style="0" hidden="1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57421875" style="0" customWidth="1"/>
  </cols>
  <sheetData>
    <row r="1" spans="2:18" ht="26.25" customHeight="1" thickBot="1">
      <c r="B1" s="100" t="s">
        <v>53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31</v>
      </c>
      <c r="R2" s="94" t="s">
        <v>133</v>
      </c>
      <c r="S2" s="95"/>
      <c r="T2" s="91" t="s">
        <v>135</v>
      </c>
    </row>
    <row r="3" spans="2:20" ht="17.25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71</v>
      </c>
      <c r="E5" s="26">
        <v>375000</v>
      </c>
      <c r="F5" s="26">
        <f aca="true" t="shared" si="0" ref="F5:F11">G5*25</f>
        <v>375000</v>
      </c>
      <c r="G5" s="26">
        <v>15000</v>
      </c>
      <c r="H5" s="22">
        <v>121308.46</v>
      </c>
      <c r="I5" s="6">
        <f>4739.5+9.53</f>
        <v>4749.03</v>
      </c>
      <c r="J5" s="6">
        <f>71194.84</f>
        <v>71194.84</v>
      </c>
      <c r="K5" s="6">
        <v>2891.31</v>
      </c>
      <c r="L5" s="6"/>
      <c r="M5" s="6"/>
      <c r="N5" s="6"/>
      <c r="O5" s="10"/>
      <c r="P5" s="26">
        <f aca="true" t="shared" si="1" ref="P5:Q7">H5+J5+L5+N5</f>
        <v>192503.3</v>
      </c>
      <c r="Q5" s="26">
        <f t="shared" si="1"/>
        <v>7640.34</v>
      </c>
      <c r="R5" s="26">
        <f aca="true" t="shared" si="2" ref="R5:S7">F5-P5</f>
        <v>182496.7</v>
      </c>
      <c r="S5" s="26">
        <f t="shared" si="2"/>
        <v>7359.66</v>
      </c>
      <c r="T5" s="26">
        <f>E5-P5</f>
        <v>182496.7</v>
      </c>
    </row>
    <row r="6" spans="2:20" ht="14.25">
      <c r="B6" s="80"/>
      <c r="C6" s="39" t="s">
        <v>137</v>
      </c>
      <c r="D6" s="18" t="s">
        <v>54</v>
      </c>
      <c r="E6" s="27">
        <v>2400</v>
      </c>
      <c r="F6" s="27">
        <f t="shared" si="0"/>
        <v>2400</v>
      </c>
      <c r="G6" s="27">
        <v>96</v>
      </c>
      <c r="H6" s="23"/>
      <c r="I6" s="7"/>
      <c r="J6" s="7"/>
      <c r="K6" s="7"/>
      <c r="L6" s="7"/>
      <c r="M6" s="7"/>
      <c r="N6" s="7"/>
      <c r="O6" s="11"/>
      <c r="P6" s="26">
        <f t="shared" si="1"/>
        <v>0</v>
      </c>
      <c r="Q6" s="26">
        <f t="shared" si="1"/>
        <v>0</v>
      </c>
      <c r="R6" s="26">
        <f t="shared" si="2"/>
        <v>2400</v>
      </c>
      <c r="S6" s="26">
        <f t="shared" si="2"/>
        <v>96</v>
      </c>
      <c r="T6" s="26">
        <f aca="true" t="shared" si="3" ref="T6:T11">E6-P6</f>
        <v>2400</v>
      </c>
    </row>
    <row r="7" spans="2:20" ht="14.25">
      <c r="B7" s="80"/>
      <c r="C7" s="39" t="s">
        <v>138</v>
      </c>
      <c r="D7" s="18" t="s">
        <v>55</v>
      </c>
      <c r="E7" s="27">
        <v>64500</v>
      </c>
      <c r="F7" s="27">
        <f t="shared" si="0"/>
        <v>64500</v>
      </c>
      <c r="G7" s="27">
        <v>2580</v>
      </c>
      <c r="H7" s="23">
        <f>3448.42-261</f>
        <v>3187.42</v>
      </c>
      <c r="I7" s="7">
        <v>146.46</v>
      </c>
      <c r="J7" s="7">
        <f>837+1780.45+12801.29</f>
        <v>15418.740000000002</v>
      </c>
      <c r="K7" s="7">
        <f>33.8+72.2+497</f>
        <v>603</v>
      </c>
      <c r="L7" s="7"/>
      <c r="M7" s="7"/>
      <c r="N7" s="7"/>
      <c r="O7" s="11"/>
      <c r="P7" s="26">
        <f t="shared" si="1"/>
        <v>18606.160000000003</v>
      </c>
      <c r="Q7" s="26">
        <f t="shared" si="1"/>
        <v>749.46</v>
      </c>
      <c r="R7" s="26">
        <f t="shared" si="2"/>
        <v>45893.84</v>
      </c>
      <c r="S7" s="26">
        <f t="shared" si="2"/>
        <v>1830.54</v>
      </c>
      <c r="T7" s="26">
        <f t="shared" si="3"/>
        <v>45893.84</v>
      </c>
    </row>
    <row r="8" spans="2:20" ht="14.25">
      <c r="B8" s="80"/>
      <c r="C8" s="39" t="s">
        <v>139</v>
      </c>
      <c r="D8" s="18" t="s">
        <v>102</v>
      </c>
      <c r="E8" s="27">
        <v>141000</v>
      </c>
      <c r="F8" s="27">
        <f t="shared" si="0"/>
        <v>140750</v>
      </c>
      <c r="G8" s="27">
        <v>5630</v>
      </c>
      <c r="H8" s="23"/>
      <c r="I8" s="7"/>
      <c r="J8" s="7">
        <f>5133.15+1780.45+28340.78</f>
        <v>35254.38</v>
      </c>
      <c r="K8" s="7">
        <f>198+72.2+1100</f>
        <v>1370.2</v>
      </c>
      <c r="L8" s="7"/>
      <c r="M8" s="7"/>
      <c r="N8" s="7"/>
      <c r="O8" s="11"/>
      <c r="P8" s="26">
        <f aca="true" t="shared" si="4" ref="P8:Q11">H8+J8+L8+N8</f>
        <v>35254.38</v>
      </c>
      <c r="Q8" s="26">
        <f t="shared" si="4"/>
        <v>1370.2</v>
      </c>
      <c r="R8" s="26">
        <f aca="true" t="shared" si="5" ref="R8:S11">F8-P8</f>
        <v>105495.62</v>
      </c>
      <c r="S8" s="26">
        <f t="shared" si="5"/>
        <v>4259.8</v>
      </c>
      <c r="T8" s="26">
        <f t="shared" si="3"/>
        <v>105745.62</v>
      </c>
    </row>
    <row r="9" spans="2:20" ht="14.25">
      <c r="B9" s="80"/>
      <c r="C9" s="39" t="s">
        <v>140</v>
      </c>
      <c r="D9" s="18" t="s">
        <v>56</v>
      </c>
      <c r="E9" s="27">
        <v>19550</v>
      </c>
      <c r="F9" s="27">
        <f t="shared" si="0"/>
        <v>19550</v>
      </c>
      <c r="G9" s="27">
        <v>782</v>
      </c>
      <c r="H9" s="23">
        <v>4682.31</v>
      </c>
      <c r="I9" s="7">
        <v>181.5</v>
      </c>
      <c r="J9" s="7">
        <f>8898.6+5268.62</f>
        <v>14167.220000000001</v>
      </c>
      <c r="K9" s="7">
        <f>346.5+223.08</f>
        <v>569.58</v>
      </c>
      <c r="L9" s="7"/>
      <c r="M9" s="7"/>
      <c r="N9" s="7"/>
      <c r="O9" s="11"/>
      <c r="P9" s="26">
        <f t="shared" si="4"/>
        <v>18849.530000000002</v>
      </c>
      <c r="Q9" s="26">
        <f t="shared" si="4"/>
        <v>751.08</v>
      </c>
      <c r="R9" s="26">
        <f t="shared" si="5"/>
        <v>700.4699999999975</v>
      </c>
      <c r="S9" s="26">
        <f t="shared" si="5"/>
        <v>30.91999999999996</v>
      </c>
      <c r="T9" s="26">
        <f t="shared" si="3"/>
        <v>700.4699999999975</v>
      </c>
    </row>
    <row r="10" spans="2:20" ht="14.25">
      <c r="B10" s="80"/>
      <c r="C10" s="39" t="s">
        <v>141</v>
      </c>
      <c r="D10" s="18" t="s">
        <v>57</v>
      </c>
      <c r="E10" s="27">
        <v>46000</v>
      </c>
      <c r="F10" s="27">
        <f t="shared" si="0"/>
        <v>46000</v>
      </c>
      <c r="G10" s="27">
        <v>1840</v>
      </c>
      <c r="H10" s="23"/>
      <c r="I10" s="7"/>
      <c r="J10" s="7">
        <f>1337.68+3671.59+1214.48+1996.34</f>
        <v>8220.09</v>
      </c>
      <c r="K10" s="7">
        <f>52.52+80.92+148.5+49.5</f>
        <v>331.44</v>
      </c>
      <c r="L10" s="7"/>
      <c r="M10" s="7"/>
      <c r="N10" s="7"/>
      <c r="O10" s="11"/>
      <c r="P10" s="26">
        <f t="shared" si="4"/>
        <v>8220.09</v>
      </c>
      <c r="Q10" s="26">
        <f t="shared" si="4"/>
        <v>331.44</v>
      </c>
      <c r="R10" s="26">
        <f t="shared" si="5"/>
        <v>37779.91</v>
      </c>
      <c r="S10" s="26">
        <f t="shared" si="5"/>
        <v>1508.56</v>
      </c>
      <c r="T10" s="26">
        <f t="shared" si="3"/>
        <v>37779.91</v>
      </c>
    </row>
    <row r="11" spans="2:20" ht="15" thickBot="1">
      <c r="B11" s="80"/>
      <c r="C11" s="39" t="s">
        <v>142</v>
      </c>
      <c r="D11" s="19" t="s">
        <v>58</v>
      </c>
      <c r="E11" s="28">
        <v>11250</v>
      </c>
      <c r="F11" s="27">
        <f t="shared" si="0"/>
        <v>11250</v>
      </c>
      <c r="G11" s="28">
        <v>450</v>
      </c>
      <c r="H11" s="24"/>
      <c r="I11" s="8"/>
      <c r="J11" s="8">
        <f>4193</f>
        <v>4193</v>
      </c>
      <c r="K11" s="8">
        <f>169.33</f>
        <v>169.33</v>
      </c>
      <c r="L11" s="8"/>
      <c r="M11" s="8"/>
      <c r="N11" s="8"/>
      <c r="O11" s="12"/>
      <c r="P11" s="26">
        <f t="shared" si="4"/>
        <v>4193</v>
      </c>
      <c r="Q11" s="26">
        <f t="shared" si="4"/>
        <v>169.33</v>
      </c>
      <c r="R11" s="26">
        <f t="shared" si="5"/>
        <v>7057</v>
      </c>
      <c r="S11" s="26">
        <f t="shared" si="5"/>
        <v>280.66999999999996</v>
      </c>
      <c r="T11" s="26">
        <f t="shared" si="3"/>
        <v>7057</v>
      </c>
    </row>
    <row r="12" spans="2:20" ht="15" thickBot="1">
      <c r="B12" s="81"/>
      <c r="C12" s="16" t="s">
        <v>5</v>
      </c>
      <c r="D12" s="20"/>
      <c r="E12" s="29">
        <f>SUM(E5:E11)</f>
        <v>659700</v>
      </c>
      <c r="F12" s="29">
        <f aca="true" t="shared" si="6" ref="F12:S12">SUM(F5:F11)</f>
        <v>659450</v>
      </c>
      <c r="G12" s="29">
        <f t="shared" si="6"/>
        <v>26378</v>
      </c>
      <c r="H12" s="25">
        <f t="shared" si="6"/>
        <v>129178.19</v>
      </c>
      <c r="I12" s="9">
        <f t="shared" si="6"/>
        <v>5076.99</v>
      </c>
      <c r="J12" s="9">
        <f t="shared" si="6"/>
        <v>148448.27</v>
      </c>
      <c r="K12" s="9">
        <f t="shared" si="6"/>
        <v>5934.86</v>
      </c>
      <c r="L12" s="9">
        <f t="shared" si="6"/>
        <v>0</v>
      </c>
      <c r="M12" s="9">
        <f t="shared" si="6"/>
        <v>0</v>
      </c>
      <c r="N12" s="9">
        <f t="shared" si="6"/>
        <v>0</v>
      </c>
      <c r="O12" s="9">
        <f t="shared" si="6"/>
        <v>0</v>
      </c>
      <c r="P12" s="29">
        <f t="shared" si="6"/>
        <v>277626.46</v>
      </c>
      <c r="Q12" s="29">
        <f t="shared" si="6"/>
        <v>11011.85</v>
      </c>
      <c r="R12" s="29">
        <f>SUM(R5:R11)</f>
        <v>381823.54000000004</v>
      </c>
      <c r="S12" s="29">
        <f t="shared" si="6"/>
        <v>15366.15</v>
      </c>
      <c r="T12" s="29">
        <f>SUM(T5:T11)</f>
        <v>382073.54000000004</v>
      </c>
    </row>
    <row r="13" spans="2:20" ht="14.25" customHeight="1">
      <c r="B13" s="79" t="s">
        <v>9</v>
      </c>
      <c r="C13" s="39" t="s">
        <v>60</v>
      </c>
      <c r="D13" s="17" t="s">
        <v>59</v>
      </c>
      <c r="E13" s="26">
        <v>75000</v>
      </c>
      <c r="F13" s="26">
        <f>G13*25</f>
        <v>75000</v>
      </c>
      <c r="G13" s="26">
        <v>3000</v>
      </c>
      <c r="H13" s="22"/>
      <c r="I13" s="6"/>
      <c r="J13" s="6">
        <v>66564</v>
      </c>
      <c r="K13" s="6">
        <v>2637.24</v>
      </c>
      <c r="L13" s="6"/>
      <c r="M13" s="6"/>
      <c r="N13" s="6"/>
      <c r="O13" s="10"/>
      <c r="P13" s="26">
        <f>H13+J13+L13+N13</f>
        <v>66564</v>
      </c>
      <c r="Q13" s="26">
        <f>I13+K13+M13+O13</f>
        <v>2637.24</v>
      </c>
      <c r="R13" s="26">
        <f>F13-P13</f>
        <v>8436</v>
      </c>
      <c r="S13" s="26">
        <f>G13-Q13</f>
        <v>362.7600000000002</v>
      </c>
      <c r="T13" s="26">
        <f>E13-P13</f>
        <v>8436</v>
      </c>
    </row>
    <row r="14" spans="2:20" ht="14.25">
      <c r="B14" s="80"/>
      <c r="C14" s="39" t="s">
        <v>61</v>
      </c>
      <c r="D14" s="18" t="s">
        <v>62</v>
      </c>
      <c r="E14" s="27">
        <v>6250</v>
      </c>
      <c r="F14" s="26">
        <f>G14*25</f>
        <v>6250</v>
      </c>
      <c r="G14" s="27">
        <v>250</v>
      </c>
      <c r="H14" s="23"/>
      <c r="I14" s="7"/>
      <c r="J14" s="7"/>
      <c r="K14" s="7"/>
      <c r="L14" s="7"/>
      <c r="M14" s="7"/>
      <c r="N14" s="7"/>
      <c r="O14" s="11"/>
      <c r="P14" s="26">
        <f>H14+J14+L14+N14</f>
        <v>0</v>
      </c>
      <c r="Q14" s="26">
        <f>I14+K14+M14+O14</f>
        <v>0</v>
      </c>
      <c r="R14" s="26">
        <f>F14-P14</f>
        <v>6250</v>
      </c>
      <c r="S14" s="26">
        <f>G14-Q14</f>
        <v>250</v>
      </c>
      <c r="T14" s="26">
        <f>E14-P14</f>
        <v>6250</v>
      </c>
    </row>
    <row r="15" spans="2:20" ht="14.25">
      <c r="B15" s="80"/>
      <c r="C15" s="39"/>
      <c r="D15" s="18"/>
      <c r="E15" s="27"/>
      <c r="F15" s="27"/>
      <c r="G15" s="27"/>
      <c r="H15" s="23"/>
      <c r="I15" s="7"/>
      <c r="J15" s="7"/>
      <c r="K15" s="7"/>
      <c r="L15" s="7"/>
      <c r="M15" s="7"/>
      <c r="N15" s="7"/>
      <c r="O15" s="11"/>
      <c r="P15" s="26"/>
      <c r="Q15" s="26"/>
      <c r="R15" s="26"/>
      <c r="S15" s="26"/>
      <c r="T15" s="26"/>
    </row>
    <row r="16" spans="2:20" ht="14.25">
      <c r="B16" s="80"/>
      <c r="C16" s="3"/>
      <c r="D16" s="18"/>
      <c r="E16" s="27"/>
      <c r="F16" s="27"/>
      <c r="G16" s="27"/>
      <c r="H16" s="23"/>
      <c r="I16" s="7"/>
      <c r="J16" s="7"/>
      <c r="K16" s="7"/>
      <c r="L16" s="7"/>
      <c r="M16" s="7"/>
      <c r="N16" s="7"/>
      <c r="O16" s="11"/>
      <c r="P16" s="26"/>
      <c r="Q16" s="26"/>
      <c r="R16" s="26"/>
      <c r="S16" s="26"/>
      <c r="T16" s="26"/>
    </row>
    <row r="17" spans="2:20" ht="14.25">
      <c r="B17" s="80"/>
      <c r="C17" s="3"/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/>
      <c r="Q17" s="26"/>
      <c r="R17" s="26"/>
      <c r="S17" s="26"/>
      <c r="T17" s="26"/>
    </row>
    <row r="18" spans="2:20" ht="14.25">
      <c r="B18" s="80"/>
      <c r="C18" s="3"/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4"/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6"/>
    </row>
    <row r="20" spans="1:20" ht="15" thickBot="1">
      <c r="A20" t="s">
        <v>100</v>
      </c>
      <c r="B20" s="81"/>
      <c r="C20" s="16" t="s">
        <v>5</v>
      </c>
      <c r="D20" s="20"/>
      <c r="E20" s="29">
        <f>SUM(E13:E19)</f>
        <v>81250</v>
      </c>
      <c r="F20" s="29">
        <f aca="true" t="shared" si="7" ref="F20:T20">SUM(F13:F19)</f>
        <v>81250</v>
      </c>
      <c r="G20" s="29">
        <f t="shared" si="7"/>
        <v>3250</v>
      </c>
      <c r="H20" s="25">
        <f t="shared" si="7"/>
        <v>0</v>
      </c>
      <c r="I20" s="9">
        <f t="shared" si="7"/>
        <v>0</v>
      </c>
      <c r="J20" s="9">
        <f t="shared" si="7"/>
        <v>66564</v>
      </c>
      <c r="K20" s="9">
        <f t="shared" si="7"/>
        <v>2637.24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9">
        <f t="shared" si="7"/>
        <v>0</v>
      </c>
      <c r="P20" s="29">
        <f t="shared" si="7"/>
        <v>66564</v>
      </c>
      <c r="Q20" s="29">
        <f t="shared" si="7"/>
        <v>2637.24</v>
      </c>
      <c r="R20" s="29">
        <f t="shared" si="7"/>
        <v>14686</v>
      </c>
      <c r="S20" s="29">
        <f t="shared" si="7"/>
        <v>612.7600000000002</v>
      </c>
      <c r="T20" s="29">
        <f t="shared" si="7"/>
        <v>14686</v>
      </c>
    </row>
    <row r="21" spans="2:20" ht="14.25">
      <c r="B21" s="79" t="s">
        <v>15</v>
      </c>
      <c r="C21" s="39" t="s">
        <v>150</v>
      </c>
      <c r="D21" s="17" t="s">
        <v>19</v>
      </c>
      <c r="E21" s="26">
        <v>7000</v>
      </c>
      <c r="F21" s="26">
        <f>G21*25</f>
        <v>12500</v>
      </c>
      <c r="G21" s="26">
        <v>500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8" ref="P21:Q23">H21+J21+L21+N21</f>
        <v>0</v>
      </c>
      <c r="Q21" s="26">
        <f t="shared" si="8"/>
        <v>0</v>
      </c>
      <c r="R21" s="26">
        <f aca="true" t="shared" si="9" ref="R21:S23">F21-P21</f>
        <v>12500</v>
      </c>
      <c r="S21" s="26">
        <f t="shared" si="9"/>
        <v>500</v>
      </c>
      <c r="T21" s="26">
        <f>E21-P21</f>
        <v>7000</v>
      </c>
    </row>
    <row r="22" spans="2:20" ht="14.25">
      <c r="B22" s="80"/>
      <c r="C22" s="39" t="s">
        <v>151</v>
      </c>
      <c r="D22" s="18" t="s">
        <v>20</v>
      </c>
      <c r="E22" s="27">
        <v>12500</v>
      </c>
      <c r="F22" s="27">
        <f>G22*25</f>
        <v>12500</v>
      </c>
      <c r="G22" s="27">
        <v>500</v>
      </c>
      <c r="H22" s="23"/>
      <c r="I22" s="7"/>
      <c r="J22" s="7"/>
      <c r="K22" s="7"/>
      <c r="L22" s="7"/>
      <c r="M22" s="7"/>
      <c r="N22" s="7"/>
      <c r="O22" s="11"/>
      <c r="P22" s="26">
        <f t="shared" si="8"/>
        <v>0</v>
      </c>
      <c r="Q22" s="26">
        <f t="shared" si="8"/>
        <v>0</v>
      </c>
      <c r="R22" s="26">
        <f t="shared" si="9"/>
        <v>12500</v>
      </c>
      <c r="S22" s="26">
        <f t="shared" si="9"/>
        <v>500</v>
      </c>
      <c r="T22" s="26">
        <f>E22-P22</f>
        <v>12500</v>
      </c>
    </row>
    <row r="23" spans="2:20" ht="14.25">
      <c r="B23" s="80"/>
      <c r="C23" s="39" t="s">
        <v>152</v>
      </c>
      <c r="D23" s="18" t="s">
        <v>132</v>
      </c>
      <c r="E23" s="27">
        <v>18000</v>
      </c>
      <c r="F23" s="27">
        <f>G23*25</f>
        <v>12500</v>
      </c>
      <c r="G23" s="27">
        <v>500</v>
      </c>
      <c r="H23" s="23">
        <v>18000</v>
      </c>
      <c r="I23" s="7">
        <v>686.18</v>
      </c>
      <c r="J23" s="7">
        <v>240</v>
      </c>
      <c r="K23" s="7">
        <v>9.69</v>
      </c>
      <c r="L23" s="7"/>
      <c r="M23" s="7"/>
      <c r="N23" s="7"/>
      <c r="O23" s="11"/>
      <c r="P23" s="26">
        <f t="shared" si="8"/>
        <v>18240</v>
      </c>
      <c r="Q23" s="26">
        <f t="shared" si="8"/>
        <v>695.87</v>
      </c>
      <c r="R23" s="26">
        <f t="shared" si="9"/>
        <v>-5740</v>
      </c>
      <c r="S23" s="26">
        <f t="shared" si="9"/>
        <v>-195.87</v>
      </c>
      <c r="T23" s="26">
        <f>E23-P23</f>
        <v>-240</v>
      </c>
    </row>
    <row r="24" spans="2:20" ht="14.25">
      <c r="B24" s="80"/>
      <c r="C24" s="39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6"/>
    </row>
    <row r="25" spans="2:20" ht="14.25">
      <c r="B25" s="80"/>
      <c r="C25" s="39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6"/>
    </row>
    <row r="26" spans="2:20" ht="14.25">
      <c r="B26" s="80"/>
      <c r="C26" s="39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6"/>
    </row>
    <row r="27" spans="2:20" ht="15" thickBot="1">
      <c r="B27" s="80"/>
      <c r="C27" s="39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6"/>
    </row>
    <row r="28" spans="2:20" ht="15" thickBot="1">
      <c r="B28" s="81"/>
      <c r="C28" s="16" t="s">
        <v>5</v>
      </c>
      <c r="D28" s="20"/>
      <c r="E28" s="29">
        <f>SUM(E21:E27)</f>
        <v>37500</v>
      </c>
      <c r="F28" s="29">
        <f aca="true" t="shared" si="10" ref="F28:T28">SUM(F21:F27)</f>
        <v>37500</v>
      </c>
      <c r="G28" s="29">
        <f t="shared" si="10"/>
        <v>1500</v>
      </c>
      <c r="H28" s="25">
        <f t="shared" si="10"/>
        <v>18000</v>
      </c>
      <c r="I28" s="9">
        <f t="shared" si="10"/>
        <v>686.18</v>
      </c>
      <c r="J28" s="9">
        <f t="shared" si="10"/>
        <v>240</v>
      </c>
      <c r="K28" s="9">
        <f t="shared" si="10"/>
        <v>9.69</v>
      </c>
      <c r="L28" s="9">
        <f t="shared" si="10"/>
        <v>0</v>
      </c>
      <c r="M28" s="9">
        <f t="shared" si="10"/>
        <v>0</v>
      </c>
      <c r="N28" s="9">
        <f t="shared" si="10"/>
        <v>0</v>
      </c>
      <c r="O28" s="9">
        <f t="shared" si="10"/>
        <v>0</v>
      </c>
      <c r="P28" s="29">
        <f t="shared" si="10"/>
        <v>18240</v>
      </c>
      <c r="Q28" s="29">
        <f t="shared" si="10"/>
        <v>695.87</v>
      </c>
      <c r="R28" s="29">
        <f t="shared" si="10"/>
        <v>19260</v>
      </c>
      <c r="S28" s="29">
        <f t="shared" si="10"/>
        <v>804.13</v>
      </c>
      <c r="T28" s="29">
        <f t="shared" si="10"/>
        <v>19260</v>
      </c>
    </row>
    <row r="29" spans="2:20" ht="14.25">
      <c r="B29" s="79" t="s">
        <v>16</v>
      </c>
      <c r="C29" s="39" t="s">
        <v>45</v>
      </c>
      <c r="D29" s="17" t="s">
        <v>63</v>
      </c>
      <c r="E29" s="26">
        <v>40000</v>
      </c>
      <c r="F29" s="26">
        <f aca="true" t="shared" si="11" ref="F29:F34">G29*25</f>
        <v>40000</v>
      </c>
      <c r="G29" s="26">
        <v>1600</v>
      </c>
      <c r="H29" s="22"/>
      <c r="I29" s="6"/>
      <c r="J29" s="6">
        <v>7769</v>
      </c>
      <c r="K29" s="6">
        <v>307.81</v>
      </c>
      <c r="L29" s="6"/>
      <c r="M29" s="6"/>
      <c r="N29" s="6"/>
      <c r="O29" s="10"/>
      <c r="P29" s="26">
        <f aca="true" t="shared" si="12" ref="P29:Q31">H29+J29+L29+N29</f>
        <v>7769</v>
      </c>
      <c r="Q29" s="26">
        <f t="shared" si="12"/>
        <v>307.81</v>
      </c>
      <c r="R29" s="26">
        <f aca="true" t="shared" si="13" ref="R29:S31">F29-P29</f>
        <v>32231</v>
      </c>
      <c r="S29" s="26">
        <f t="shared" si="13"/>
        <v>1292.19</v>
      </c>
      <c r="T29" s="26">
        <f aca="true" t="shared" si="14" ref="T29:T34">E29-P29</f>
        <v>32231</v>
      </c>
    </row>
    <row r="30" spans="2:20" ht="14.25">
      <c r="B30" s="80"/>
      <c r="C30" s="39" t="s">
        <v>46</v>
      </c>
      <c r="D30" s="18" t="s">
        <v>68</v>
      </c>
      <c r="E30" s="27">
        <v>5250</v>
      </c>
      <c r="F30" s="27">
        <f t="shared" si="11"/>
        <v>5250</v>
      </c>
      <c r="G30" s="26">
        <v>210</v>
      </c>
      <c r="H30" s="23"/>
      <c r="I30" s="7"/>
      <c r="J30" s="7">
        <f>1314+817</f>
        <v>2131</v>
      </c>
      <c r="K30" s="7">
        <f>53.06+32.37</f>
        <v>85.43</v>
      </c>
      <c r="L30" s="7"/>
      <c r="M30" s="7"/>
      <c r="N30" s="7"/>
      <c r="O30" s="11"/>
      <c r="P30" s="26">
        <f t="shared" si="12"/>
        <v>2131</v>
      </c>
      <c r="Q30" s="26">
        <f t="shared" si="12"/>
        <v>85.43</v>
      </c>
      <c r="R30" s="26">
        <f t="shared" si="13"/>
        <v>3119</v>
      </c>
      <c r="S30" s="26">
        <f t="shared" si="13"/>
        <v>124.57</v>
      </c>
      <c r="T30" s="26">
        <f t="shared" si="14"/>
        <v>3119</v>
      </c>
    </row>
    <row r="31" spans="2:20" ht="14.25">
      <c r="B31" s="80"/>
      <c r="C31" s="39" t="s">
        <v>47</v>
      </c>
      <c r="D31" s="18" t="s">
        <v>66</v>
      </c>
      <c r="E31" s="27">
        <v>62500</v>
      </c>
      <c r="F31" s="27">
        <f t="shared" si="11"/>
        <v>62500</v>
      </c>
      <c r="G31" s="27">
        <v>2500</v>
      </c>
      <c r="H31" s="23"/>
      <c r="I31" s="7"/>
      <c r="J31" s="7">
        <v>59779.25</v>
      </c>
      <c r="K31" s="7">
        <v>2435</v>
      </c>
      <c r="L31" s="7"/>
      <c r="M31" s="7"/>
      <c r="N31" s="7"/>
      <c r="O31" s="11"/>
      <c r="P31" s="26">
        <f t="shared" si="12"/>
        <v>59779.25</v>
      </c>
      <c r="Q31" s="26">
        <f t="shared" si="12"/>
        <v>2435</v>
      </c>
      <c r="R31" s="26">
        <f t="shared" si="13"/>
        <v>2720.75</v>
      </c>
      <c r="S31" s="26">
        <f t="shared" si="13"/>
        <v>65</v>
      </c>
      <c r="T31" s="26">
        <f t="shared" si="14"/>
        <v>2720.75</v>
      </c>
    </row>
    <row r="32" spans="2:20" ht="14.25">
      <c r="B32" s="80"/>
      <c r="C32" s="39" t="s">
        <v>48</v>
      </c>
      <c r="D32" s="18" t="s">
        <v>64</v>
      </c>
      <c r="E32" s="27">
        <v>45000</v>
      </c>
      <c r="F32" s="27">
        <f t="shared" si="11"/>
        <v>45000</v>
      </c>
      <c r="G32" s="27">
        <v>1800</v>
      </c>
      <c r="H32" s="23">
        <v>634</v>
      </c>
      <c r="I32" s="7">
        <v>24.17</v>
      </c>
      <c r="J32" s="7">
        <v>480</v>
      </c>
      <c r="K32" s="7">
        <v>19.02</v>
      </c>
      <c r="L32" s="7"/>
      <c r="M32" s="7"/>
      <c r="N32" s="7"/>
      <c r="O32" s="11"/>
      <c r="P32" s="26">
        <f aca="true" t="shared" si="15" ref="P32:Q34">H32+J32+L32+N32</f>
        <v>1114</v>
      </c>
      <c r="Q32" s="26">
        <f t="shared" si="15"/>
        <v>43.19</v>
      </c>
      <c r="R32" s="26">
        <f aca="true" t="shared" si="16" ref="R32:S34">F32-P32</f>
        <v>43886</v>
      </c>
      <c r="S32" s="26">
        <f t="shared" si="16"/>
        <v>1756.81</v>
      </c>
      <c r="T32" s="26">
        <f t="shared" si="14"/>
        <v>43886</v>
      </c>
    </row>
    <row r="33" spans="2:20" ht="14.25">
      <c r="B33" s="80"/>
      <c r="C33" s="39" t="s">
        <v>67</v>
      </c>
      <c r="D33" s="18" t="s">
        <v>65</v>
      </c>
      <c r="E33" s="27">
        <v>32800</v>
      </c>
      <c r="F33" s="27">
        <f t="shared" si="11"/>
        <v>32800</v>
      </c>
      <c r="G33" s="27">
        <v>1312</v>
      </c>
      <c r="H33" s="23"/>
      <c r="I33" s="7"/>
      <c r="J33" s="7">
        <v>8298</v>
      </c>
      <c r="K33" s="7">
        <v>328.76</v>
      </c>
      <c r="L33" s="7"/>
      <c r="M33" s="7"/>
      <c r="N33" s="7"/>
      <c r="O33" s="11"/>
      <c r="P33" s="26">
        <f t="shared" si="15"/>
        <v>8298</v>
      </c>
      <c r="Q33" s="26">
        <f t="shared" si="15"/>
        <v>328.76</v>
      </c>
      <c r="R33" s="26">
        <f t="shared" si="16"/>
        <v>24502</v>
      </c>
      <c r="S33" s="26">
        <f t="shared" si="16"/>
        <v>983.24</v>
      </c>
      <c r="T33" s="26">
        <f t="shared" si="14"/>
        <v>24502</v>
      </c>
    </row>
    <row r="34" spans="2:20" ht="14.25">
      <c r="B34" s="80"/>
      <c r="C34" s="39" t="s">
        <v>69</v>
      </c>
      <c r="D34" s="18" t="s">
        <v>70</v>
      </c>
      <c r="E34" s="27">
        <v>45000</v>
      </c>
      <c r="F34" s="27">
        <f t="shared" si="11"/>
        <v>45000</v>
      </c>
      <c r="G34" s="27">
        <v>1800</v>
      </c>
      <c r="H34" s="23">
        <v>1119.97</v>
      </c>
      <c r="I34" s="7">
        <v>42.69</v>
      </c>
      <c r="J34" s="7">
        <f>5762</f>
        <v>5762</v>
      </c>
      <c r="K34" s="7">
        <f>232.69</f>
        <v>232.69</v>
      </c>
      <c r="L34" s="7"/>
      <c r="M34" s="7"/>
      <c r="N34" s="7"/>
      <c r="O34" s="11"/>
      <c r="P34" s="26">
        <f t="shared" si="15"/>
        <v>6881.97</v>
      </c>
      <c r="Q34" s="26">
        <f t="shared" si="15"/>
        <v>275.38</v>
      </c>
      <c r="R34" s="26">
        <f t="shared" si="16"/>
        <v>38118.03</v>
      </c>
      <c r="S34" s="26">
        <f t="shared" si="16"/>
        <v>1524.62</v>
      </c>
      <c r="T34" s="26">
        <f t="shared" si="14"/>
        <v>38118.03</v>
      </c>
    </row>
    <row r="35" spans="2:20" ht="15" thickBot="1">
      <c r="B35" s="80"/>
      <c r="C35" s="4">
        <v>40365</v>
      </c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6"/>
    </row>
    <row r="36" spans="2:20" ht="15" thickBot="1">
      <c r="B36" s="81"/>
      <c r="C36" s="16" t="s">
        <v>5</v>
      </c>
      <c r="D36" s="20"/>
      <c r="E36" s="29">
        <f>SUM(E29:E35)</f>
        <v>230550</v>
      </c>
      <c r="F36" s="29">
        <f aca="true" t="shared" si="17" ref="F36:T36">SUM(F29:F35)</f>
        <v>230550</v>
      </c>
      <c r="G36" s="29">
        <f t="shared" si="17"/>
        <v>9222</v>
      </c>
      <c r="H36" s="25">
        <f t="shared" si="17"/>
        <v>1753.97</v>
      </c>
      <c r="I36" s="9">
        <f t="shared" si="17"/>
        <v>66.86</v>
      </c>
      <c r="J36" s="9">
        <f t="shared" si="17"/>
        <v>84219.25</v>
      </c>
      <c r="K36" s="9">
        <f t="shared" si="17"/>
        <v>3408.7099999999996</v>
      </c>
      <c r="L36" s="9">
        <f t="shared" si="17"/>
        <v>0</v>
      </c>
      <c r="M36" s="9">
        <f t="shared" si="17"/>
        <v>0</v>
      </c>
      <c r="N36" s="9">
        <f t="shared" si="17"/>
        <v>0</v>
      </c>
      <c r="O36" s="9">
        <f t="shared" si="17"/>
        <v>0</v>
      </c>
      <c r="P36" s="29">
        <f t="shared" si="17"/>
        <v>85973.22</v>
      </c>
      <c r="Q36" s="29">
        <f t="shared" si="17"/>
        <v>3475.5699999999997</v>
      </c>
      <c r="R36" s="29">
        <f>SUM(R29:R35)</f>
        <v>144576.78</v>
      </c>
      <c r="S36" s="29">
        <f t="shared" si="17"/>
        <v>5746.429999999999</v>
      </c>
      <c r="T36" s="29">
        <f t="shared" si="17"/>
        <v>144576.78</v>
      </c>
    </row>
    <row r="37" spans="2:20" ht="14.25">
      <c r="B37" s="79" t="s">
        <v>17</v>
      </c>
      <c r="C37" s="39" t="s">
        <v>164</v>
      </c>
      <c r="D37" s="17" t="s">
        <v>85</v>
      </c>
      <c r="E37" s="26">
        <v>4427000</v>
      </c>
      <c r="F37" s="26">
        <f>G37*25</f>
        <v>4427500</v>
      </c>
      <c r="G37" s="26">
        <v>177100</v>
      </c>
      <c r="H37" s="22">
        <v>0</v>
      </c>
      <c r="I37" s="6">
        <v>0</v>
      </c>
      <c r="J37" s="6">
        <v>3957450</v>
      </c>
      <c r="K37" s="6">
        <v>159813.03</v>
      </c>
      <c r="L37" s="6"/>
      <c r="M37" s="6"/>
      <c r="N37" s="6"/>
      <c r="O37" s="10"/>
      <c r="P37" s="26">
        <f>H37+J37+L37+N37</f>
        <v>3957450</v>
      </c>
      <c r="Q37" s="26">
        <f>I37+K37+M37+O37</f>
        <v>159813.03</v>
      </c>
      <c r="R37" s="26">
        <f>F37-P37</f>
        <v>470050</v>
      </c>
      <c r="S37" s="26">
        <f>G37-Q37</f>
        <v>17286.97</v>
      </c>
      <c r="T37" s="26">
        <f>E37-P37</f>
        <v>469550</v>
      </c>
    </row>
    <row r="38" spans="2:20" ht="14.25">
      <c r="B38" s="80"/>
      <c r="C38" s="71" t="s">
        <v>166</v>
      </c>
      <c r="D38" s="21" t="s">
        <v>84</v>
      </c>
      <c r="E38" s="30"/>
      <c r="F38" s="30"/>
      <c r="G38" s="27"/>
      <c r="H38" s="23"/>
      <c r="I38" s="7"/>
      <c r="J38" s="7"/>
      <c r="K38" s="7"/>
      <c r="L38" s="7"/>
      <c r="M38" s="7"/>
      <c r="N38" s="7"/>
      <c r="O38" s="11"/>
      <c r="P38" s="26"/>
      <c r="Q38" s="26"/>
      <c r="R38" s="26"/>
      <c r="S38" s="26"/>
      <c r="T38" s="26"/>
    </row>
    <row r="39" spans="2:20" ht="14.25">
      <c r="B39" s="80"/>
      <c r="C39" s="71" t="s">
        <v>167</v>
      </c>
      <c r="D39" s="18"/>
      <c r="E39" s="27"/>
      <c r="F39" s="27"/>
      <c r="G39" s="27"/>
      <c r="H39" s="23"/>
      <c r="I39" s="7"/>
      <c r="J39" s="7"/>
      <c r="K39" s="7"/>
      <c r="L39" s="7"/>
      <c r="M39" s="7"/>
      <c r="N39" s="7"/>
      <c r="O39" s="11"/>
      <c r="P39" s="26"/>
      <c r="Q39" s="26"/>
      <c r="R39" s="26"/>
      <c r="S39" s="26"/>
      <c r="T39" s="26"/>
    </row>
    <row r="40" spans="2:20" ht="14.25">
      <c r="B40" s="80"/>
      <c r="C40" s="71" t="s">
        <v>168</v>
      </c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6"/>
    </row>
    <row r="41" spans="2:20" ht="14.25">
      <c r="B41" s="80"/>
      <c r="C41" s="71" t="s">
        <v>169</v>
      </c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6"/>
    </row>
    <row r="42" spans="2:20" ht="14.25">
      <c r="B42" s="80"/>
      <c r="C42" s="71" t="s">
        <v>170</v>
      </c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6"/>
    </row>
    <row r="43" spans="2:20" ht="15" thickBot="1">
      <c r="B43" s="80"/>
      <c r="C43" s="72" t="s">
        <v>171</v>
      </c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6"/>
    </row>
    <row r="44" spans="2:20" ht="15" thickBot="1">
      <c r="B44" s="81"/>
      <c r="C44" s="5" t="s">
        <v>5</v>
      </c>
      <c r="D44" s="20"/>
      <c r="E44" s="31">
        <f>SUM(E37:E43)</f>
        <v>4427000</v>
      </c>
      <c r="F44" s="31">
        <f aca="true" t="shared" si="18" ref="F44:T44">SUM(F37:F43)</f>
        <v>4427500</v>
      </c>
      <c r="G44" s="31">
        <f t="shared" si="18"/>
        <v>177100</v>
      </c>
      <c r="H44" s="34">
        <f t="shared" si="18"/>
        <v>0</v>
      </c>
      <c r="I44" s="9">
        <f t="shared" si="18"/>
        <v>0</v>
      </c>
      <c r="J44" s="9">
        <f t="shared" si="18"/>
        <v>3957450</v>
      </c>
      <c r="K44" s="9">
        <f t="shared" si="18"/>
        <v>159813.03</v>
      </c>
      <c r="L44" s="9">
        <f t="shared" si="18"/>
        <v>0</v>
      </c>
      <c r="M44" s="9">
        <f t="shared" si="18"/>
        <v>0</v>
      </c>
      <c r="N44" s="9">
        <f t="shared" si="18"/>
        <v>0</v>
      </c>
      <c r="O44" s="9">
        <f t="shared" si="18"/>
        <v>0</v>
      </c>
      <c r="P44" s="29">
        <f t="shared" si="18"/>
        <v>3957450</v>
      </c>
      <c r="Q44" s="29">
        <f t="shared" si="18"/>
        <v>159813.03</v>
      </c>
      <c r="R44" s="29">
        <f t="shared" si="18"/>
        <v>470050</v>
      </c>
      <c r="S44" s="29">
        <f t="shared" si="18"/>
        <v>17286.97</v>
      </c>
      <c r="T44" s="29">
        <f t="shared" si="18"/>
        <v>469550</v>
      </c>
    </row>
    <row r="45" spans="2:20" ht="16.5" thickBot="1">
      <c r="B45" s="77" t="s">
        <v>18</v>
      </c>
      <c r="C45" s="78"/>
      <c r="D45" s="78"/>
      <c r="E45" s="32">
        <f>SUM(E12+E20+E28+E36+E44)</f>
        <v>5436000</v>
      </c>
      <c r="F45" s="41">
        <f aca="true" t="shared" si="19" ref="F45:S45">SUM(F12+F20+F28+F36+F44)</f>
        <v>5436250</v>
      </c>
      <c r="G45" s="41">
        <f t="shared" si="19"/>
        <v>217450</v>
      </c>
      <c r="H45" s="42">
        <f t="shared" si="19"/>
        <v>148932.16</v>
      </c>
      <c r="I45" s="43">
        <f t="shared" si="19"/>
        <v>5830.03</v>
      </c>
      <c r="J45" s="43">
        <f t="shared" si="19"/>
        <v>4256921.52</v>
      </c>
      <c r="K45" s="43">
        <f t="shared" si="19"/>
        <v>171803.53</v>
      </c>
      <c r="L45" s="43">
        <f t="shared" si="19"/>
        <v>0</v>
      </c>
      <c r="M45" s="43">
        <f t="shared" si="19"/>
        <v>0</v>
      </c>
      <c r="N45" s="43">
        <f t="shared" si="19"/>
        <v>0</v>
      </c>
      <c r="O45" s="44">
        <f t="shared" si="19"/>
        <v>0</v>
      </c>
      <c r="P45" s="32">
        <f t="shared" si="19"/>
        <v>4405853.68</v>
      </c>
      <c r="Q45" s="32">
        <f t="shared" si="19"/>
        <v>177633.56</v>
      </c>
      <c r="R45" s="32">
        <f t="shared" si="19"/>
        <v>1030396.3200000001</v>
      </c>
      <c r="S45" s="32">
        <f t="shared" si="19"/>
        <v>39816.44</v>
      </c>
      <c r="T45" s="32">
        <f>SUM(T12+T20+T28+T36+T44)</f>
        <v>1030146.3200000001</v>
      </c>
    </row>
    <row r="46" spans="2:20" s="60" customFormat="1" ht="15" thickBot="1">
      <c r="B46" s="82" t="s">
        <v>126</v>
      </c>
      <c r="C46" s="83"/>
      <c r="D46" s="84"/>
      <c r="E46" s="58">
        <f>E45*0.85</f>
        <v>4620600</v>
      </c>
      <c r="F46" s="58">
        <f aca="true" t="shared" si="20" ref="F46:K46">F45*0.85</f>
        <v>4620812.5</v>
      </c>
      <c r="G46" s="58">
        <f t="shared" si="20"/>
        <v>184832.5</v>
      </c>
      <c r="H46" s="58">
        <f t="shared" si="20"/>
        <v>126592.336</v>
      </c>
      <c r="I46" s="59">
        <f t="shared" si="20"/>
        <v>4955.5255</v>
      </c>
      <c r="J46" s="58">
        <f t="shared" si="20"/>
        <v>3618383.2919999994</v>
      </c>
      <c r="K46" s="59">
        <f t="shared" si="20"/>
        <v>146033.0005</v>
      </c>
      <c r="L46" s="58"/>
      <c r="M46" s="58"/>
      <c r="N46" s="58"/>
      <c r="O46" s="58"/>
      <c r="P46" s="62">
        <f aca="true" t="shared" si="21" ref="P46:Q48">H46+J46+L46+N46</f>
        <v>3744975.6279999996</v>
      </c>
      <c r="Q46" s="62">
        <f t="shared" si="21"/>
        <v>150988.52599999998</v>
      </c>
      <c r="R46" s="62">
        <f aca="true" t="shared" si="22" ref="R46:S48">F46-P46</f>
        <v>875836.8720000004</v>
      </c>
      <c r="S46" s="62">
        <f t="shared" si="22"/>
        <v>33843.97400000002</v>
      </c>
      <c r="T46" s="62">
        <f>E46-P46</f>
        <v>875624.3720000004</v>
      </c>
    </row>
    <row r="47" spans="2:20" s="60" customFormat="1" ht="15" thickBot="1">
      <c r="B47" s="85" t="s">
        <v>127</v>
      </c>
      <c r="C47" s="86"/>
      <c r="D47" s="87"/>
      <c r="E47" s="61">
        <f>E45*0.15</f>
        <v>815400</v>
      </c>
      <c r="F47" s="61">
        <f aca="true" t="shared" si="23" ref="F47:K47">F45*0.15</f>
        <v>815437.5</v>
      </c>
      <c r="G47" s="61">
        <f t="shared" si="23"/>
        <v>32617.5</v>
      </c>
      <c r="H47" s="61">
        <f t="shared" si="23"/>
        <v>22339.824</v>
      </c>
      <c r="I47" s="61">
        <f t="shared" si="23"/>
        <v>874.5044999999999</v>
      </c>
      <c r="J47" s="61">
        <f t="shared" si="23"/>
        <v>638538.2279999999</v>
      </c>
      <c r="K47" s="61">
        <f t="shared" si="23"/>
        <v>25770.5295</v>
      </c>
      <c r="L47" s="61"/>
      <c r="M47" s="61"/>
      <c r="N47" s="61"/>
      <c r="O47" s="61"/>
      <c r="P47" s="68">
        <f t="shared" si="21"/>
        <v>660878.0519999999</v>
      </c>
      <c r="Q47" s="68">
        <f t="shared" si="21"/>
        <v>26645.034</v>
      </c>
      <c r="R47" s="68">
        <f t="shared" si="22"/>
        <v>154559.4480000001</v>
      </c>
      <c r="S47" s="68">
        <f t="shared" si="22"/>
        <v>5972.466</v>
      </c>
      <c r="T47" s="68">
        <f>E47-P47</f>
        <v>154521.9480000001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4620812.5</v>
      </c>
      <c r="G48" s="67">
        <f>G46</f>
        <v>184832.5</v>
      </c>
      <c r="H48" s="67">
        <v>122059.41</v>
      </c>
      <c r="I48" s="63">
        <v>4955.52</v>
      </c>
      <c r="J48" s="63"/>
      <c r="K48" s="63"/>
      <c r="L48" s="63"/>
      <c r="M48" s="63"/>
      <c r="N48" s="63"/>
      <c r="O48" s="63"/>
      <c r="P48" s="64">
        <f t="shared" si="21"/>
        <v>122059.41</v>
      </c>
      <c r="Q48" s="64">
        <f t="shared" si="21"/>
        <v>4955.52</v>
      </c>
      <c r="R48" s="64">
        <f t="shared" si="22"/>
        <v>4498753.09</v>
      </c>
      <c r="S48" s="65">
        <f t="shared" si="22"/>
        <v>179876.98</v>
      </c>
      <c r="T48" s="65"/>
    </row>
    <row r="49" spans="8:10" ht="13.5" thickTop="1">
      <c r="H49" s="40" t="s">
        <v>73</v>
      </c>
      <c r="J49" s="53"/>
    </row>
    <row r="50" spans="5:8" ht="13.5" thickBot="1">
      <c r="E50" s="53"/>
      <c r="H50" s="40" t="s">
        <v>72</v>
      </c>
    </row>
    <row r="51" spans="3:20" ht="12.75">
      <c r="C51" s="112" t="s">
        <v>174</v>
      </c>
      <c r="D51" s="113"/>
      <c r="E51" s="114">
        <f>SUM(E12+E20+E28+E36)</f>
        <v>1009000</v>
      </c>
      <c r="F51" s="114">
        <f aca="true" t="shared" si="24" ref="F51:T51">SUM(F12+F20+F28+F36)</f>
        <v>1008750</v>
      </c>
      <c r="G51" s="114">
        <f t="shared" si="24"/>
        <v>40350</v>
      </c>
      <c r="H51" s="114">
        <f t="shared" si="24"/>
        <v>148932.16</v>
      </c>
      <c r="I51" s="114">
        <f t="shared" si="24"/>
        <v>5830.03</v>
      </c>
      <c r="J51" s="114">
        <f t="shared" si="24"/>
        <v>299471.52</v>
      </c>
      <c r="K51" s="114">
        <f t="shared" si="24"/>
        <v>11990.499999999998</v>
      </c>
      <c r="L51" s="114">
        <f t="shared" si="24"/>
        <v>0</v>
      </c>
      <c r="M51" s="114">
        <f t="shared" si="24"/>
        <v>0</v>
      </c>
      <c r="N51" s="114">
        <f t="shared" si="24"/>
        <v>0</v>
      </c>
      <c r="O51" s="114">
        <f t="shared" si="24"/>
        <v>0</v>
      </c>
      <c r="P51" s="114">
        <f t="shared" si="24"/>
        <v>448403.68000000005</v>
      </c>
      <c r="Q51" s="114">
        <f t="shared" si="24"/>
        <v>17820.53</v>
      </c>
      <c r="R51" s="114">
        <f t="shared" si="24"/>
        <v>560346.3200000001</v>
      </c>
      <c r="S51" s="114">
        <f t="shared" si="24"/>
        <v>22529.47</v>
      </c>
      <c r="T51" s="114">
        <f t="shared" si="24"/>
        <v>560596.3200000001</v>
      </c>
    </row>
    <row r="52" spans="3:20" ht="13.5" thickBot="1">
      <c r="C52" s="117" t="s">
        <v>175</v>
      </c>
      <c r="D52" s="118"/>
      <c r="E52" s="119">
        <f>SUM(E44)</f>
        <v>4427000</v>
      </c>
      <c r="F52" s="119">
        <f aca="true" t="shared" si="25" ref="F52:T52">SUM(F44)</f>
        <v>4427500</v>
      </c>
      <c r="G52" s="119">
        <f t="shared" si="25"/>
        <v>177100</v>
      </c>
      <c r="H52" s="119">
        <f t="shared" si="25"/>
        <v>0</v>
      </c>
      <c r="I52" s="119">
        <f t="shared" si="25"/>
        <v>0</v>
      </c>
      <c r="J52" s="119">
        <f t="shared" si="25"/>
        <v>3957450</v>
      </c>
      <c r="K52" s="119">
        <f t="shared" si="25"/>
        <v>159813.03</v>
      </c>
      <c r="L52" s="119">
        <f t="shared" si="25"/>
        <v>0</v>
      </c>
      <c r="M52" s="119">
        <f t="shared" si="25"/>
        <v>0</v>
      </c>
      <c r="N52" s="119">
        <f t="shared" si="25"/>
        <v>0</v>
      </c>
      <c r="O52" s="119">
        <f t="shared" si="25"/>
        <v>0</v>
      </c>
      <c r="P52" s="119">
        <f t="shared" si="25"/>
        <v>3957450</v>
      </c>
      <c r="Q52" s="119">
        <f t="shared" si="25"/>
        <v>159813.03</v>
      </c>
      <c r="R52" s="119">
        <f t="shared" si="25"/>
        <v>470050</v>
      </c>
      <c r="S52" s="119">
        <f t="shared" si="25"/>
        <v>17286.97</v>
      </c>
      <c r="T52" s="119">
        <f t="shared" si="25"/>
        <v>469550</v>
      </c>
    </row>
  </sheetData>
  <sheetProtection/>
  <mergeCells count="29">
    <mergeCell ref="C51:D51"/>
    <mergeCell ref="C52:D52"/>
    <mergeCell ref="B46:D46"/>
    <mergeCell ref="B45:D45"/>
    <mergeCell ref="R2:S2"/>
    <mergeCell ref="R3:R4"/>
    <mergeCell ref="S3:S4"/>
    <mergeCell ref="B13:B20"/>
    <mergeCell ref="B21:B28"/>
    <mergeCell ref="T2:T4"/>
    <mergeCell ref="E2:E4"/>
    <mergeCell ref="F2:G2"/>
    <mergeCell ref="F3:F4"/>
    <mergeCell ref="G3:G4"/>
    <mergeCell ref="B47:D47"/>
    <mergeCell ref="B5:B12"/>
    <mergeCell ref="B37:B44"/>
    <mergeCell ref="N3:O3"/>
    <mergeCell ref="B29:B36"/>
    <mergeCell ref="B48:D48"/>
    <mergeCell ref="H3:I3"/>
    <mergeCell ref="J3:K3"/>
    <mergeCell ref="L3:M3"/>
    <mergeCell ref="B1:R1"/>
    <mergeCell ref="C2:C4"/>
    <mergeCell ref="D2:D4"/>
    <mergeCell ref="P2:P4"/>
    <mergeCell ref="H2:O2"/>
    <mergeCell ref="Q2:Q4"/>
  </mergeCells>
  <printOptions/>
  <pageMargins left="0" right="0" top="0.4724409448818898" bottom="0.7874015748031497" header="0.31496062992125984" footer="0.31496062992125984"/>
  <pageSetup fitToHeight="1" fitToWidth="1" horizontalDpi="600" verticalDpi="600" orientation="landscape" paperSize="9" scale="49" r:id="rId1"/>
  <ignoredErrors>
    <ignoredError sqref="C13:C14 C29:C34" twoDigitTextYear="1"/>
    <ignoredError sqref="J44 F12 P12:R12 S1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0"/>
  <sheetViews>
    <sheetView zoomScalePageLayoutView="0" workbookViewId="0" topLeftCell="A1">
      <pane xSplit="4" ySplit="4" topLeftCell="E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" sqref="E5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61.28125" style="0" customWidth="1"/>
    <col min="5" max="5" width="17.7109375" style="0" customWidth="1"/>
    <col min="6" max="6" width="16.00390625" style="0" customWidth="1"/>
    <col min="7" max="7" width="13.7109375" style="0" customWidth="1"/>
    <col min="8" max="8" width="15.57421875" style="0" customWidth="1"/>
    <col min="9" max="15" width="13.7109375" style="0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57421875" style="0" customWidth="1"/>
  </cols>
  <sheetData>
    <row r="1" spans="2:18" ht="26.25" customHeight="1" thickBot="1">
      <c r="B1" s="100" t="s">
        <v>74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6" t="s">
        <v>1</v>
      </c>
      <c r="D2" s="106" t="s">
        <v>2</v>
      </c>
      <c r="E2" s="96" t="s">
        <v>165</v>
      </c>
      <c r="F2" s="94" t="s">
        <v>133</v>
      </c>
      <c r="G2" s="95"/>
      <c r="H2" s="77" t="s">
        <v>29</v>
      </c>
      <c r="I2" s="78"/>
      <c r="J2" s="78"/>
      <c r="K2" s="78"/>
      <c r="L2" s="78"/>
      <c r="M2" s="78"/>
      <c r="N2" s="78"/>
      <c r="O2" s="105"/>
      <c r="P2" s="91" t="s">
        <v>30</v>
      </c>
      <c r="Q2" s="91" t="s">
        <v>31</v>
      </c>
      <c r="R2" s="94" t="s">
        <v>133</v>
      </c>
      <c r="S2" s="95"/>
      <c r="T2" s="91" t="s">
        <v>135</v>
      </c>
    </row>
    <row r="3" spans="2:20" ht="16.5" customHeight="1" thickBot="1">
      <c r="B3" s="1"/>
      <c r="C3" s="107"/>
      <c r="D3" s="107"/>
      <c r="E3" s="104"/>
      <c r="F3" s="96" t="s">
        <v>28</v>
      </c>
      <c r="G3" s="96" t="s">
        <v>3</v>
      </c>
      <c r="H3" s="88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89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8"/>
      <c r="D4" s="108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75</v>
      </c>
      <c r="E5" s="26">
        <v>2250</v>
      </c>
      <c r="F5" s="26">
        <f>G5*25</f>
        <v>2250</v>
      </c>
      <c r="G5" s="26">
        <v>90</v>
      </c>
      <c r="H5" s="22"/>
      <c r="I5" s="6"/>
      <c r="J5" s="6"/>
      <c r="K5" s="6"/>
      <c r="L5" s="6"/>
      <c r="M5" s="6"/>
      <c r="N5" s="6"/>
      <c r="O5" s="10"/>
      <c r="P5" s="26">
        <f aca="true" t="shared" si="0" ref="P5:Q7">H5+J5+L5+N5</f>
        <v>0</v>
      </c>
      <c r="Q5" s="26">
        <f t="shared" si="0"/>
        <v>0</v>
      </c>
      <c r="R5" s="26">
        <f aca="true" t="shared" si="1" ref="R5:S7">F5-P5</f>
        <v>2250</v>
      </c>
      <c r="S5" s="26">
        <f t="shared" si="1"/>
        <v>90</v>
      </c>
      <c r="T5" s="26">
        <f>E5-P5</f>
        <v>2250</v>
      </c>
    </row>
    <row r="6" spans="2:20" ht="14.25">
      <c r="B6" s="80"/>
      <c r="C6" s="71" t="s">
        <v>137</v>
      </c>
      <c r="D6" s="18" t="s">
        <v>76</v>
      </c>
      <c r="E6" s="27">
        <v>10500</v>
      </c>
      <c r="F6" s="27">
        <f>G6*25</f>
        <v>10125</v>
      </c>
      <c r="G6" s="27">
        <v>405</v>
      </c>
      <c r="H6" s="23"/>
      <c r="I6" s="7"/>
      <c r="J6" s="7">
        <v>442.53</v>
      </c>
      <c r="K6" s="7">
        <v>17.53</v>
      </c>
      <c r="L6" s="7"/>
      <c r="M6" s="7"/>
      <c r="N6" s="7"/>
      <c r="O6" s="11"/>
      <c r="P6" s="26">
        <f t="shared" si="0"/>
        <v>442.53</v>
      </c>
      <c r="Q6" s="26">
        <f t="shared" si="0"/>
        <v>17.53</v>
      </c>
      <c r="R6" s="26">
        <f t="shared" si="1"/>
        <v>9682.47</v>
      </c>
      <c r="S6" s="26">
        <f t="shared" si="1"/>
        <v>387.47</v>
      </c>
      <c r="T6" s="26">
        <f>E6-P6</f>
        <v>10057.47</v>
      </c>
    </row>
    <row r="7" spans="2:20" ht="14.25">
      <c r="B7" s="80"/>
      <c r="C7" s="71" t="s">
        <v>138</v>
      </c>
      <c r="D7" s="18" t="s">
        <v>77</v>
      </c>
      <c r="E7" s="27">
        <v>375000</v>
      </c>
      <c r="F7" s="27">
        <f>G7*25</f>
        <v>375000</v>
      </c>
      <c r="G7" s="27">
        <v>15000</v>
      </c>
      <c r="H7" s="23">
        <v>90762</v>
      </c>
      <c r="I7" s="7">
        <v>3501.3</v>
      </c>
      <c r="J7" s="7">
        <v>70161.48</v>
      </c>
      <c r="K7" s="7">
        <v>2779.77</v>
      </c>
      <c r="L7" s="7"/>
      <c r="M7" s="7"/>
      <c r="N7" s="7"/>
      <c r="O7" s="11"/>
      <c r="P7" s="26">
        <f t="shared" si="0"/>
        <v>160923.47999999998</v>
      </c>
      <c r="Q7" s="26">
        <f t="shared" si="0"/>
        <v>6281.07</v>
      </c>
      <c r="R7" s="26">
        <f t="shared" si="1"/>
        <v>214076.52000000002</v>
      </c>
      <c r="S7" s="26">
        <f t="shared" si="1"/>
        <v>8718.93</v>
      </c>
      <c r="T7" s="26">
        <f>E7-P7</f>
        <v>214076.52000000002</v>
      </c>
    </row>
    <row r="8" spans="2:20" ht="14.25">
      <c r="B8" s="80"/>
      <c r="C8" s="71" t="s">
        <v>139</v>
      </c>
      <c r="D8" s="18" t="s">
        <v>78</v>
      </c>
      <c r="E8" s="27">
        <v>8500</v>
      </c>
      <c r="F8" s="27">
        <f>G8*25</f>
        <v>8250</v>
      </c>
      <c r="G8" s="27">
        <v>330</v>
      </c>
      <c r="H8" s="23"/>
      <c r="I8" s="7"/>
      <c r="J8" s="7"/>
      <c r="K8" s="7"/>
      <c r="L8" s="7"/>
      <c r="M8" s="7"/>
      <c r="N8" s="7"/>
      <c r="O8" s="11"/>
      <c r="P8" s="26">
        <f>H8+J8+L8+N8</f>
        <v>0</v>
      </c>
      <c r="Q8" s="26">
        <f>I8+K8+M8+O8</f>
        <v>0</v>
      </c>
      <c r="R8" s="26">
        <f>F8-P8</f>
        <v>8250</v>
      </c>
      <c r="S8" s="26">
        <f>G8-Q8</f>
        <v>330</v>
      </c>
      <c r="T8" s="26">
        <f>E8-P8</f>
        <v>8500</v>
      </c>
    </row>
    <row r="9" spans="2:20" ht="14.25">
      <c r="B9" s="80"/>
      <c r="C9" s="71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6"/>
    </row>
    <row r="10" spans="2:20" ht="14.25">
      <c r="B10" s="80"/>
      <c r="C10" s="71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6"/>
    </row>
    <row r="11" spans="2:20" ht="15" thickBot="1">
      <c r="B11" s="80"/>
      <c r="C11" s="72" t="s">
        <v>142</v>
      </c>
      <c r="D11" s="19"/>
      <c r="E11" s="27"/>
      <c r="F11" s="27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6"/>
    </row>
    <row r="12" spans="2:20" ht="15" thickBot="1">
      <c r="B12" s="81"/>
      <c r="C12" s="16" t="s">
        <v>5</v>
      </c>
      <c r="D12" s="20"/>
      <c r="E12" s="29">
        <f>SUM(E5:E11)</f>
        <v>396250</v>
      </c>
      <c r="F12" s="29">
        <f aca="true" t="shared" si="2" ref="F12:S12">SUM(F5:F11)</f>
        <v>395625</v>
      </c>
      <c r="G12" s="29">
        <f t="shared" si="2"/>
        <v>15825</v>
      </c>
      <c r="H12" s="25">
        <f t="shared" si="2"/>
        <v>90762</v>
      </c>
      <c r="I12" s="9">
        <f t="shared" si="2"/>
        <v>3501.3</v>
      </c>
      <c r="J12" s="9">
        <f t="shared" si="2"/>
        <v>70604.01</v>
      </c>
      <c r="K12" s="9">
        <f t="shared" si="2"/>
        <v>2797.3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29">
        <f t="shared" si="2"/>
        <v>161366.00999999998</v>
      </c>
      <c r="Q12" s="29">
        <f t="shared" si="2"/>
        <v>6298.599999999999</v>
      </c>
      <c r="R12" s="29">
        <f t="shared" si="2"/>
        <v>234258.99000000002</v>
      </c>
      <c r="S12" s="29">
        <f t="shared" si="2"/>
        <v>9526.4</v>
      </c>
      <c r="T12" s="29">
        <f>SUM(T5:T11)</f>
        <v>234883.99000000002</v>
      </c>
    </row>
    <row r="13" spans="2:20" ht="14.25" customHeight="1">
      <c r="B13" s="79" t="s">
        <v>9</v>
      </c>
      <c r="C13" s="39" t="s">
        <v>60</v>
      </c>
      <c r="D13" s="17" t="s">
        <v>59</v>
      </c>
      <c r="E13" s="26">
        <v>75000</v>
      </c>
      <c r="F13" s="26">
        <f>G13*25</f>
        <v>75000</v>
      </c>
      <c r="G13" s="26">
        <v>3000</v>
      </c>
      <c r="H13" s="22"/>
      <c r="I13" s="6"/>
      <c r="J13" s="6">
        <v>66564</v>
      </c>
      <c r="K13" s="6">
        <v>2637.24</v>
      </c>
      <c r="L13" s="6"/>
      <c r="M13" s="6"/>
      <c r="N13" s="6"/>
      <c r="O13" s="10"/>
      <c r="P13" s="26">
        <f>H13+J13+L13+N13</f>
        <v>66564</v>
      </c>
      <c r="Q13" s="26">
        <f>I13+K13+M13+O13</f>
        <v>2637.24</v>
      </c>
      <c r="R13" s="26">
        <f>F13-P13</f>
        <v>8436</v>
      </c>
      <c r="S13" s="26">
        <f>G13-Q13</f>
        <v>362.7600000000002</v>
      </c>
      <c r="T13" s="26">
        <f>E13-P13</f>
        <v>8436</v>
      </c>
    </row>
    <row r="14" spans="2:20" ht="14.25">
      <c r="B14" s="80"/>
      <c r="C14" s="39" t="s">
        <v>61</v>
      </c>
      <c r="D14" s="18" t="s">
        <v>79</v>
      </c>
      <c r="E14" s="26">
        <v>18750</v>
      </c>
      <c r="F14" s="26">
        <f>G14*25</f>
        <v>18750</v>
      </c>
      <c r="G14" s="27">
        <v>750</v>
      </c>
      <c r="H14" s="23"/>
      <c r="I14" s="7"/>
      <c r="J14" s="7"/>
      <c r="K14" s="7"/>
      <c r="L14" s="7"/>
      <c r="M14" s="7"/>
      <c r="N14" s="7"/>
      <c r="O14" s="11"/>
      <c r="P14" s="26">
        <f>H14+J14+L14+N14</f>
        <v>0</v>
      </c>
      <c r="Q14" s="26">
        <f>I14+K14+M14+O14</f>
        <v>0</v>
      </c>
      <c r="R14" s="26">
        <f>F14-P14</f>
        <v>18750</v>
      </c>
      <c r="S14" s="26">
        <f>G14-Q14</f>
        <v>750</v>
      </c>
      <c r="T14" s="26">
        <f>E14-P14</f>
        <v>18750</v>
      </c>
    </row>
    <row r="15" spans="2:20" ht="14.25">
      <c r="B15" s="80"/>
      <c r="C15" s="39"/>
      <c r="D15" s="18"/>
      <c r="E15" s="27"/>
      <c r="F15" s="27"/>
      <c r="G15" s="27"/>
      <c r="H15" s="23"/>
      <c r="I15" s="7"/>
      <c r="J15" s="7"/>
      <c r="K15" s="7"/>
      <c r="L15" s="7"/>
      <c r="M15" s="7"/>
      <c r="N15" s="7"/>
      <c r="O15" s="11"/>
      <c r="P15" s="26"/>
      <c r="Q15" s="26"/>
      <c r="R15" s="26"/>
      <c r="S15" s="26"/>
      <c r="T15" s="26"/>
    </row>
    <row r="16" spans="2:20" ht="14.25">
      <c r="B16" s="80"/>
      <c r="C16" s="3"/>
      <c r="D16" s="18"/>
      <c r="E16" s="27"/>
      <c r="F16" s="27"/>
      <c r="G16" s="27"/>
      <c r="H16" s="23"/>
      <c r="I16" s="7"/>
      <c r="J16" s="7"/>
      <c r="K16" s="7"/>
      <c r="L16" s="7"/>
      <c r="M16" s="7"/>
      <c r="N16" s="7"/>
      <c r="O16" s="11"/>
      <c r="P16" s="26"/>
      <c r="Q16" s="26"/>
      <c r="R16" s="26"/>
      <c r="S16" s="26"/>
      <c r="T16" s="26"/>
    </row>
    <row r="17" spans="2:20" ht="14.25">
      <c r="B17" s="80"/>
      <c r="C17" s="3"/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/>
      <c r="Q17" s="26"/>
      <c r="R17" s="26"/>
      <c r="S17" s="26"/>
      <c r="T17" s="26"/>
    </row>
    <row r="18" spans="2:20" ht="14.25">
      <c r="B18" s="80"/>
      <c r="C18" s="3"/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4"/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6"/>
    </row>
    <row r="20" spans="2:20" ht="15" thickBot="1">
      <c r="B20" s="81"/>
      <c r="C20" s="16" t="s">
        <v>5</v>
      </c>
      <c r="D20" s="20"/>
      <c r="E20" s="29">
        <f>SUM(E13:E19)</f>
        <v>93750</v>
      </c>
      <c r="F20" s="29">
        <f aca="true" t="shared" si="3" ref="F20:T20">SUM(F13:F19)</f>
        <v>93750</v>
      </c>
      <c r="G20" s="29">
        <f t="shared" si="3"/>
        <v>3750</v>
      </c>
      <c r="H20" s="25">
        <f t="shared" si="3"/>
        <v>0</v>
      </c>
      <c r="I20" s="9">
        <f t="shared" si="3"/>
        <v>0</v>
      </c>
      <c r="J20" s="9">
        <f t="shared" si="3"/>
        <v>66564</v>
      </c>
      <c r="K20" s="9">
        <f t="shared" si="3"/>
        <v>2637.24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29">
        <f t="shared" si="3"/>
        <v>66564</v>
      </c>
      <c r="Q20" s="29">
        <f t="shared" si="3"/>
        <v>2637.24</v>
      </c>
      <c r="R20" s="29">
        <f t="shared" si="3"/>
        <v>27186</v>
      </c>
      <c r="S20" s="29">
        <f t="shared" si="3"/>
        <v>1112.7600000000002</v>
      </c>
      <c r="T20" s="29">
        <f t="shared" si="3"/>
        <v>27186</v>
      </c>
    </row>
    <row r="21" spans="2:20" ht="14.25" customHeight="1">
      <c r="B21" s="79" t="s">
        <v>15</v>
      </c>
      <c r="C21" s="39" t="s">
        <v>150</v>
      </c>
      <c r="D21" s="17" t="s">
        <v>80</v>
      </c>
      <c r="E21" s="26">
        <v>12500</v>
      </c>
      <c r="F21" s="26">
        <f>G21*25</f>
        <v>12500</v>
      </c>
      <c r="G21" s="26">
        <v>500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4" ref="P21:Q23">H21+J21+L21+N21</f>
        <v>0</v>
      </c>
      <c r="Q21" s="26">
        <f t="shared" si="4"/>
        <v>0</v>
      </c>
      <c r="R21" s="26">
        <f aca="true" t="shared" si="5" ref="R21:S23">F21-P21</f>
        <v>12500</v>
      </c>
      <c r="S21" s="26">
        <f t="shared" si="5"/>
        <v>500</v>
      </c>
      <c r="T21" s="26">
        <f>E21-P21</f>
        <v>12500</v>
      </c>
    </row>
    <row r="22" spans="2:20" ht="14.25">
      <c r="B22" s="80"/>
      <c r="C22" s="71" t="s">
        <v>151</v>
      </c>
      <c r="D22" s="18" t="s">
        <v>20</v>
      </c>
      <c r="E22" s="27">
        <v>12500</v>
      </c>
      <c r="F22" s="27">
        <f>G22*25</f>
        <v>12500</v>
      </c>
      <c r="G22" s="27">
        <v>500</v>
      </c>
      <c r="H22" s="23"/>
      <c r="I22" s="7"/>
      <c r="J22" s="7"/>
      <c r="K22" s="7"/>
      <c r="L22" s="7"/>
      <c r="M22" s="7"/>
      <c r="N22" s="7"/>
      <c r="O22" s="11"/>
      <c r="P22" s="26">
        <f t="shared" si="4"/>
        <v>0</v>
      </c>
      <c r="Q22" s="26">
        <f t="shared" si="4"/>
        <v>0</v>
      </c>
      <c r="R22" s="26">
        <f t="shared" si="5"/>
        <v>12500</v>
      </c>
      <c r="S22" s="26">
        <f t="shared" si="5"/>
        <v>500</v>
      </c>
      <c r="T22" s="26">
        <f>E22-P22</f>
        <v>12500</v>
      </c>
    </row>
    <row r="23" spans="2:20" ht="14.25">
      <c r="B23" s="80"/>
      <c r="C23" s="71" t="s">
        <v>152</v>
      </c>
      <c r="D23" s="18" t="s">
        <v>132</v>
      </c>
      <c r="E23" s="27">
        <v>12500</v>
      </c>
      <c r="F23" s="27">
        <f>G23*25</f>
        <v>12500</v>
      </c>
      <c r="G23" s="27">
        <v>500</v>
      </c>
      <c r="H23" s="23"/>
      <c r="I23" s="7"/>
      <c r="J23" s="7">
        <v>12500</v>
      </c>
      <c r="K23" s="7">
        <v>495.25</v>
      </c>
      <c r="L23" s="7"/>
      <c r="M23" s="7"/>
      <c r="N23" s="7"/>
      <c r="O23" s="11"/>
      <c r="P23" s="26">
        <f t="shared" si="4"/>
        <v>12500</v>
      </c>
      <c r="Q23" s="26">
        <f t="shared" si="4"/>
        <v>495.25</v>
      </c>
      <c r="R23" s="26">
        <f t="shared" si="5"/>
        <v>0</v>
      </c>
      <c r="S23" s="26">
        <f t="shared" si="5"/>
        <v>4.75</v>
      </c>
      <c r="T23" s="26">
        <f>E23-P23</f>
        <v>0</v>
      </c>
    </row>
    <row r="24" spans="2:20" ht="14.25">
      <c r="B24" s="80"/>
      <c r="C24" s="71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6"/>
    </row>
    <row r="25" spans="2:20" ht="14.25">
      <c r="B25" s="80"/>
      <c r="C25" s="71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6"/>
    </row>
    <row r="26" spans="2:20" ht="14.25">
      <c r="B26" s="80"/>
      <c r="C26" s="71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6"/>
    </row>
    <row r="27" spans="2:20" ht="15" thickBot="1">
      <c r="B27" s="80"/>
      <c r="C27" s="72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6"/>
    </row>
    <row r="28" spans="2:20" ht="15" thickBot="1">
      <c r="B28" s="81"/>
      <c r="C28" s="73"/>
      <c r="D28" s="20"/>
      <c r="E28" s="29">
        <f>SUM(E21:E27)</f>
        <v>37500</v>
      </c>
      <c r="F28" s="29">
        <f aca="true" t="shared" si="6" ref="F28:T28">SUM(F21:F27)</f>
        <v>37500</v>
      </c>
      <c r="G28" s="29">
        <f t="shared" si="6"/>
        <v>1500</v>
      </c>
      <c r="H28" s="25">
        <f t="shared" si="6"/>
        <v>0</v>
      </c>
      <c r="I28" s="9">
        <f t="shared" si="6"/>
        <v>0</v>
      </c>
      <c r="J28" s="9">
        <f t="shared" si="6"/>
        <v>12500</v>
      </c>
      <c r="K28" s="9">
        <f t="shared" si="6"/>
        <v>495.25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29">
        <f t="shared" si="6"/>
        <v>12500</v>
      </c>
      <c r="Q28" s="29">
        <f t="shared" si="6"/>
        <v>495.25</v>
      </c>
      <c r="R28" s="29">
        <f t="shared" si="6"/>
        <v>25000</v>
      </c>
      <c r="S28" s="29">
        <f t="shared" si="6"/>
        <v>1004.75</v>
      </c>
      <c r="T28" s="29">
        <f t="shared" si="6"/>
        <v>25000</v>
      </c>
    </row>
    <row r="29" spans="2:20" ht="14.25" customHeight="1">
      <c r="B29" s="79" t="s">
        <v>16</v>
      </c>
      <c r="C29" s="39" t="s">
        <v>45</v>
      </c>
      <c r="D29" s="17" t="s">
        <v>81</v>
      </c>
      <c r="E29" s="26">
        <v>37500</v>
      </c>
      <c r="F29" s="26">
        <f>G29*25</f>
        <v>37500</v>
      </c>
      <c r="G29" s="26">
        <v>1500</v>
      </c>
      <c r="H29" s="22"/>
      <c r="I29" s="6"/>
      <c r="J29" s="6">
        <v>1259</v>
      </c>
      <c r="K29" s="6">
        <v>49.88</v>
      </c>
      <c r="L29" s="6"/>
      <c r="M29" s="6"/>
      <c r="N29" s="6"/>
      <c r="O29" s="10"/>
      <c r="P29" s="26">
        <f aca="true" t="shared" si="7" ref="P29:Q31">H29+J29+L29+N29</f>
        <v>1259</v>
      </c>
      <c r="Q29" s="26">
        <f t="shared" si="7"/>
        <v>49.88</v>
      </c>
      <c r="R29" s="26">
        <f aca="true" t="shared" si="8" ref="R29:S31">F29-P29</f>
        <v>36241</v>
      </c>
      <c r="S29" s="26">
        <f t="shared" si="8"/>
        <v>1450.12</v>
      </c>
      <c r="T29" s="26">
        <f>E29-P29</f>
        <v>36241</v>
      </c>
    </row>
    <row r="30" spans="2:20" ht="14.25">
      <c r="B30" s="80"/>
      <c r="C30" s="39" t="s">
        <v>46</v>
      </c>
      <c r="D30" s="18" t="s">
        <v>82</v>
      </c>
      <c r="E30" s="27">
        <v>9500</v>
      </c>
      <c r="F30" s="27">
        <f>G30*25</f>
        <v>9375</v>
      </c>
      <c r="G30" s="26">
        <v>375</v>
      </c>
      <c r="H30" s="23"/>
      <c r="I30" s="7"/>
      <c r="J30" s="7"/>
      <c r="K30" s="7"/>
      <c r="L30" s="7"/>
      <c r="M30" s="7"/>
      <c r="N30" s="7"/>
      <c r="O30" s="11"/>
      <c r="P30" s="26">
        <f t="shared" si="7"/>
        <v>0</v>
      </c>
      <c r="Q30" s="26">
        <f t="shared" si="7"/>
        <v>0</v>
      </c>
      <c r="R30" s="26">
        <f t="shared" si="8"/>
        <v>9375</v>
      </c>
      <c r="S30" s="26">
        <f t="shared" si="8"/>
        <v>375</v>
      </c>
      <c r="T30" s="26">
        <f>E30-P30</f>
        <v>9500</v>
      </c>
    </row>
    <row r="31" spans="2:20" ht="14.25">
      <c r="B31" s="80"/>
      <c r="C31" s="39" t="s">
        <v>47</v>
      </c>
      <c r="D31" s="18" t="s">
        <v>83</v>
      </c>
      <c r="E31" s="27">
        <v>7500</v>
      </c>
      <c r="F31" s="27">
        <f>G31*25</f>
        <v>7500</v>
      </c>
      <c r="G31" s="27">
        <v>300</v>
      </c>
      <c r="H31" s="23"/>
      <c r="I31" s="7"/>
      <c r="J31" s="7"/>
      <c r="K31" s="7"/>
      <c r="L31" s="7"/>
      <c r="M31" s="7"/>
      <c r="N31" s="7"/>
      <c r="O31" s="11"/>
      <c r="P31" s="26">
        <f t="shared" si="7"/>
        <v>0</v>
      </c>
      <c r="Q31" s="26">
        <f t="shared" si="7"/>
        <v>0</v>
      </c>
      <c r="R31" s="26">
        <f t="shared" si="8"/>
        <v>7500</v>
      </c>
      <c r="S31" s="26">
        <f t="shared" si="8"/>
        <v>300</v>
      </c>
      <c r="T31" s="26">
        <f>E31-P31</f>
        <v>7500</v>
      </c>
    </row>
    <row r="32" spans="2:20" ht="14.25">
      <c r="B32" s="80"/>
      <c r="C32" s="39" t="s">
        <v>48</v>
      </c>
      <c r="D32" s="18"/>
      <c r="E32" s="27"/>
      <c r="F32" s="27"/>
      <c r="G32" s="27"/>
      <c r="H32" s="23"/>
      <c r="I32" s="7"/>
      <c r="J32" s="7"/>
      <c r="K32" s="7"/>
      <c r="L32" s="7"/>
      <c r="M32" s="7"/>
      <c r="N32" s="7"/>
      <c r="O32" s="11"/>
      <c r="P32" s="26"/>
      <c r="Q32" s="26"/>
      <c r="R32" s="26"/>
      <c r="S32" s="26"/>
      <c r="T32" s="26"/>
    </row>
    <row r="33" spans="2:20" ht="14.25">
      <c r="B33" s="80"/>
      <c r="C33" s="39" t="s">
        <v>67</v>
      </c>
      <c r="D33" s="18"/>
      <c r="E33" s="27"/>
      <c r="F33" s="27"/>
      <c r="G33" s="27"/>
      <c r="H33" s="23"/>
      <c r="I33" s="7"/>
      <c r="J33" s="7"/>
      <c r="K33" s="7"/>
      <c r="L33" s="7"/>
      <c r="M33" s="7"/>
      <c r="N33" s="7"/>
      <c r="O33" s="11"/>
      <c r="P33" s="26"/>
      <c r="Q33" s="26"/>
      <c r="R33" s="26"/>
      <c r="S33" s="26"/>
      <c r="T33" s="26"/>
    </row>
    <row r="34" spans="2:20" ht="14.25">
      <c r="B34" s="80"/>
      <c r="C34" s="39" t="s">
        <v>69</v>
      </c>
      <c r="D34" s="18"/>
      <c r="E34" s="27"/>
      <c r="F34" s="27"/>
      <c r="G34" s="27"/>
      <c r="H34" s="23"/>
      <c r="I34" s="7"/>
      <c r="J34" s="7"/>
      <c r="K34" s="7"/>
      <c r="L34" s="7"/>
      <c r="M34" s="7"/>
      <c r="N34" s="7"/>
      <c r="O34" s="11"/>
      <c r="P34" s="27"/>
      <c r="Q34" s="27"/>
      <c r="R34" s="27"/>
      <c r="S34" s="27"/>
      <c r="T34" s="26"/>
    </row>
    <row r="35" spans="2:20" ht="15" thickBot="1">
      <c r="B35" s="80"/>
      <c r="C35" s="4">
        <v>40365</v>
      </c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6"/>
    </row>
    <row r="36" spans="2:20" ht="15" thickBot="1">
      <c r="B36" s="81"/>
      <c r="C36" s="16" t="s">
        <v>5</v>
      </c>
      <c r="D36" s="20"/>
      <c r="E36" s="29">
        <f>SUM(E29:E35)</f>
        <v>54500</v>
      </c>
      <c r="F36" s="29">
        <f aca="true" t="shared" si="9" ref="F36:T36">SUM(F29:F35)</f>
        <v>54375</v>
      </c>
      <c r="G36" s="29">
        <f t="shared" si="9"/>
        <v>2175</v>
      </c>
      <c r="H36" s="25">
        <f t="shared" si="9"/>
        <v>0</v>
      </c>
      <c r="I36" s="9">
        <f t="shared" si="9"/>
        <v>0</v>
      </c>
      <c r="J36" s="9">
        <f t="shared" si="9"/>
        <v>1259</v>
      </c>
      <c r="K36" s="9">
        <f t="shared" si="9"/>
        <v>49.88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29">
        <f t="shared" si="9"/>
        <v>1259</v>
      </c>
      <c r="Q36" s="29">
        <f t="shared" si="9"/>
        <v>49.88</v>
      </c>
      <c r="R36" s="29">
        <f t="shared" si="9"/>
        <v>53116</v>
      </c>
      <c r="S36" s="29">
        <f t="shared" si="9"/>
        <v>2125.12</v>
      </c>
      <c r="T36" s="29">
        <f t="shared" si="9"/>
        <v>53241</v>
      </c>
    </row>
    <row r="37" spans="2:20" ht="14.25" customHeight="1">
      <c r="B37" s="79" t="s">
        <v>17</v>
      </c>
      <c r="C37" s="39"/>
      <c r="D37" s="17"/>
      <c r="E37" s="26"/>
      <c r="F37" s="26"/>
      <c r="G37" s="26"/>
      <c r="H37" s="22"/>
      <c r="I37" s="6"/>
      <c r="J37" s="6"/>
      <c r="K37" s="6"/>
      <c r="L37" s="6"/>
      <c r="M37" s="6"/>
      <c r="N37" s="6"/>
      <c r="O37" s="10"/>
      <c r="P37" s="26"/>
      <c r="Q37" s="26"/>
      <c r="R37" s="26"/>
      <c r="S37" s="26"/>
      <c r="T37" s="26"/>
    </row>
    <row r="38" spans="2:20" ht="14.25">
      <c r="B38" s="80"/>
      <c r="C38" s="71"/>
      <c r="D38" s="21" t="s">
        <v>84</v>
      </c>
      <c r="E38" s="30"/>
      <c r="F38" s="30"/>
      <c r="G38" s="27"/>
      <c r="H38" s="23"/>
      <c r="I38" s="7"/>
      <c r="J38" s="7"/>
      <c r="K38" s="7"/>
      <c r="L38" s="7"/>
      <c r="M38" s="7"/>
      <c r="N38" s="7"/>
      <c r="O38" s="11"/>
      <c r="P38" s="26"/>
      <c r="Q38" s="26"/>
      <c r="R38" s="26"/>
      <c r="S38" s="26"/>
      <c r="T38" s="26"/>
    </row>
    <row r="39" spans="2:20" ht="14.25">
      <c r="B39" s="80"/>
      <c r="C39" s="71"/>
      <c r="D39" s="18"/>
      <c r="E39" s="27"/>
      <c r="F39" s="27"/>
      <c r="G39" s="27"/>
      <c r="H39" s="23"/>
      <c r="I39" s="7"/>
      <c r="J39" s="7"/>
      <c r="K39" s="7"/>
      <c r="L39" s="7"/>
      <c r="M39" s="7"/>
      <c r="N39" s="7"/>
      <c r="O39" s="11"/>
      <c r="P39" s="26"/>
      <c r="Q39" s="26"/>
      <c r="R39" s="26"/>
      <c r="S39" s="26"/>
      <c r="T39" s="26"/>
    </row>
    <row r="40" spans="2:20" ht="14.25">
      <c r="B40" s="80"/>
      <c r="C40" s="71"/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6"/>
    </row>
    <row r="41" spans="2:20" ht="14.25">
      <c r="B41" s="80"/>
      <c r="C41" s="71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6"/>
    </row>
    <row r="42" spans="2:20" ht="14.25">
      <c r="B42" s="80"/>
      <c r="C42" s="71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6"/>
    </row>
    <row r="43" spans="2:20" ht="15" thickBot="1">
      <c r="B43" s="80"/>
      <c r="C43" s="72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6"/>
    </row>
    <row r="44" spans="2:20" ht="15" thickBot="1">
      <c r="B44" s="81"/>
      <c r="C44" s="5" t="s">
        <v>5</v>
      </c>
      <c r="D44" s="20"/>
      <c r="E44" s="31">
        <f>SUM(E37:E43)</f>
        <v>0</v>
      </c>
      <c r="F44" s="31">
        <f aca="true" t="shared" si="10" ref="F44:T44">SUM(F37:F43)</f>
        <v>0</v>
      </c>
      <c r="G44" s="31">
        <f t="shared" si="10"/>
        <v>0</v>
      </c>
      <c r="H44" s="34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9">
        <f t="shared" si="10"/>
        <v>0</v>
      </c>
      <c r="M44" s="9">
        <f t="shared" si="10"/>
        <v>0</v>
      </c>
      <c r="N44" s="9">
        <f t="shared" si="10"/>
        <v>0</v>
      </c>
      <c r="O44" s="9">
        <f t="shared" si="10"/>
        <v>0</v>
      </c>
      <c r="P44" s="29">
        <f t="shared" si="10"/>
        <v>0</v>
      </c>
      <c r="Q44" s="29">
        <f t="shared" si="10"/>
        <v>0</v>
      </c>
      <c r="R44" s="29">
        <f t="shared" si="10"/>
        <v>0</v>
      </c>
      <c r="S44" s="29">
        <f t="shared" si="10"/>
        <v>0</v>
      </c>
      <c r="T44" s="29">
        <f t="shared" si="10"/>
        <v>0</v>
      </c>
    </row>
    <row r="45" spans="2:20" ht="16.5" thickBot="1">
      <c r="B45" s="109" t="s">
        <v>134</v>
      </c>
      <c r="C45" s="110"/>
      <c r="D45" s="111"/>
      <c r="E45" s="41">
        <f>SUM(E12+E20+E28+E36+E44)</f>
        <v>582000</v>
      </c>
      <c r="F45" s="41">
        <f aca="true" t="shared" si="11" ref="F45:S45">SUM(F12+F20+F28+F36+F44)</f>
        <v>581250</v>
      </c>
      <c r="G45" s="41">
        <f t="shared" si="11"/>
        <v>23250</v>
      </c>
      <c r="H45" s="42">
        <f t="shared" si="11"/>
        <v>90762</v>
      </c>
      <c r="I45" s="43">
        <f t="shared" si="11"/>
        <v>3501.3</v>
      </c>
      <c r="J45" s="43">
        <f t="shared" si="11"/>
        <v>150927.01</v>
      </c>
      <c r="K45" s="43">
        <f t="shared" si="11"/>
        <v>5979.67</v>
      </c>
      <c r="L45" s="43">
        <f t="shared" si="11"/>
        <v>0</v>
      </c>
      <c r="M45" s="43">
        <f t="shared" si="11"/>
        <v>0</v>
      </c>
      <c r="N45" s="43">
        <f t="shared" si="11"/>
        <v>0</v>
      </c>
      <c r="O45" s="44">
        <f t="shared" si="11"/>
        <v>0</v>
      </c>
      <c r="P45" s="32">
        <f t="shared" si="11"/>
        <v>241689.00999999998</v>
      </c>
      <c r="Q45" s="32">
        <f t="shared" si="11"/>
        <v>9480.97</v>
      </c>
      <c r="R45" s="32">
        <f t="shared" si="11"/>
        <v>339560.99</v>
      </c>
      <c r="S45" s="32">
        <f t="shared" si="11"/>
        <v>13769.029999999999</v>
      </c>
      <c r="T45" s="32">
        <f>SUM(T12+T20+T28+T36+T44)</f>
        <v>340310.99</v>
      </c>
    </row>
    <row r="46" spans="2:20" s="60" customFormat="1" ht="15" thickBot="1">
      <c r="B46" s="82" t="s">
        <v>126</v>
      </c>
      <c r="C46" s="83"/>
      <c r="D46" s="84"/>
      <c r="E46" s="58">
        <f>E45*0.85</f>
        <v>494700</v>
      </c>
      <c r="F46" s="58">
        <f aca="true" t="shared" si="12" ref="F46:K46">F45*0.85</f>
        <v>494062.5</v>
      </c>
      <c r="G46" s="58">
        <f t="shared" si="12"/>
        <v>19762.5</v>
      </c>
      <c r="H46" s="58">
        <f t="shared" si="12"/>
        <v>77147.7</v>
      </c>
      <c r="I46" s="59">
        <f t="shared" si="12"/>
        <v>2976.105</v>
      </c>
      <c r="J46" s="58">
        <f t="shared" si="12"/>
        <v>128287.95850000001</v>
      </c>
      <c r="K46" s="59">
        <f t="shared" si="12"/>
        <v>5082.7195</v>
      </c>
      <c r="L46" s="58"/>
      <c r="M46" s="58"/>
      <c r="N46" s="58"/>
      <c r="O46" s="58"/>
      <c r="P46" s="62">
        <f aca="true" t="shared" si="13" ref="P46:Q48">H46+J46+L46+N46</f>
        <v>205435.65850000002</v>
      </c>
      <c r="Q46" s="62">
        <f t="shared" si="13"/>
        <v>8058.824500000001</v>
      </c>
      <c r="R46" s="62">
        <f aca="true" t="shared" si="14" ref="R46:S48">F46-P46</f>
        <v>288626.8415</v>
      </c>
      <c r="S46" s="62">
        <f t="shared" si="14"/>
        <v>11703.6755</v>
      </c>
      <c r="T46" s="62">
        <f>E46-P46</f>
        <v>289264.3415</v>
      </c>
    </row>
    <row r="47" spans="2:20" s="60" customFormat="1" ht="15" thickBot="1">
      <c r="B47" s="85" t="s">
        <v>127</v>
      </c>
      <c r="C47" s="86"/>
      <c r="D47" s="87"/>
      <c r="E47" s="61">
        <f>E45*0.15</f>
        <v>87300</v>
      </c>
      <c r="F47" s="61">
        <f aca="true" t="shared" si="15" ref="F47:K47">F45*0.15</f>
        <v>87187.5</v>
      </c>
      <c r="G47" s="61">
        <f t="shared" si="15"/>
        <v>3487.5</v>
      </c>
      <c r="H47" s="61">
        <f t="shared" si="15"/>
        <v>13614.3</v>
      </c>
      <c r="I47" s="61">
        <f t="shared" si="15"/>
        <v>525.195</v>
      </c>
      <c r="J47" s="61">
        <f t="shared" si="15"/>
        <v>22639.0515</v>
      </c>
      <c r="K47" s="61">
        <f t="shared" si="15"/>
        <v>896.9505</v>
      </c>
      <c r="L47" s="61"/>
      <c r="M47" s="61"/>
      <c r="N47" s="61"/>
      <c r="O47" s="61"/>
      <c r="P47" s="68">
        <f t="shared" si="13"/>
        <v>36253.351500000004</v>
      </c>
      <c r="Q47" s="68">
        <f t="shared" si="13"/>
        <v>1422.1455</v>
      </c>
      <c r="R47" s="68">
        <f t="shared" si="14"/>
        <v>50934.148499999996</v>
      </c>
      <c r="S47" s="68">
        <f t="shared" si="14"/>
        <v>2065.3545</v>
      </c>
      <c r="T47" s="68">
        <f>E47-P47</f>
        <v>51046.648499999996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494062.5</v>
      </c>
      <c r="G48" s="67">
        <f>G46</f>
        <v>19762.5</v>
      </c>
      <c r="H48" s="67">
        <v>73453.12</v>
      </c>
      <c r="I48" s="63">
        <v>2976.1</v>
      </c>
      <c r="J48" s="63"/>
      <c r="K48" s="63"/>
      <c r="L48" s="63"/>
      <c r="M48" s="63"/>
      <c r="N48" s="63"/>
      <c r="O48" s="63"/>
      <c r="P48" s="64">
        <f t="shared" si="13"/>
        <v>73453.12</v>
      </c>
      <c r="Q48" s="64">
        <f t="shared" si="13"/>
        <v>2976.1</v>
      </c>
      <c r="R48" s="64">
        <f t="shared" si="14"/>
        <v>420609.38</v>
      </c>
      <c r="S48" s="65">
        <f t="shared" si="14"/>
        <v>16786.4</v>
      </c>
      <c r="T48" s="65"/>
    </row>
    <row r="49" ht="13.5" thickTop="1">
      <c r="H49" s="40"/>
    </row>
    <row r="50" spans="4:20" ht="12.75">
      <c r="D50" s="54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</row>
  </sheetData>
  <sheetProtection/>
  <mergeCells count="27">
    <mergeCell ref="T2:T4"/>
    <mergeCell ref="R2:S2"/>
    <mergeCell ref="R3:R4"/>
    <mergeCell ref="S3:S4"/>
    <mergeCell ref="B48:D48"/>
    <mergeCell ref="B5:B12"/>
    <mergeCell ref="B13:B20"/>
    <mergeCell ref="B21:B28"/>
    <mergeCell ref="B29:B36"/>
    <mergeCell ref="B45:D45"/>
    <mergeCell ref="B46:D46"/>
    <mergeCell ref="B47:D47"/>
    <mergeCell ref="B1:R1"/>
    <mergeCell ref="C2:C4"/>
    <mergeCell ref="D2:D4"/>
    <mergeCell ref="B37:B44"/>
    <mergeCell ref="P2:P4"/>
    <mergeCell ref="Q2:Q4"/>
    <mergeCell ref="E2:E4"/>
    <mergeCell ref="F2:G2"/>
    <mergeCell ref="H2:O2"/>
    <mergeCell ref="F3:F4"/>
    <mergeCell ref="G3:G4"/>
    <mergeCell ref="H3:I3"/>
    <mergeCell ref="J3:K3"/>
    <mergeCell ref="L3:M3"/>
    <mergeCell ref="N3:O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2" r:id="rId1"/>
  <ignoredErrors>
    <ignoredError sqref="C13:C20 C29:C34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tabSelected="1" zoomScalePageLayoutView="0" workbookViewId="0" topLeftCell="A1">
      <pane xSplit="4" ySplit="4" topLeftCell="E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50" sqref="E50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51.28125" style="0" customWidth="1"/>
    <col min="5" max="5" width="20.00390625" style="0" customWidth="1"/>
    <col min="6" max="6" width="16.00390625" style="0" customWidth="1"/>
    <col min="7" max="7" width="13.7109375" style="0" customWidth="1"/>
    <col min="8" max="8" width="15.57421875" style="0" hidden="1" customWidth="1"/>
    <col min="9" max="9" width="13.7109375" style="0" hidden="1" customWidth="1"/>
    <col min="10" max="10" width="16.00390625" style="0" customWidth="1"/>
    <col min="11" max="15" width="13.7109375" style="0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7109375" style="0" customWidth="1"/>
  </cols>
  <sheetData>
    <row r="1" spans="2:18" ht="26.25" customHeight="1" thickBot="1">
      <c r="B1" s="100" t="s">
        <v>172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31</v>
      </c>
      <c r="R2" s="94" t="s">
        <v>133</v>
      </c>
      <c r="S2" s="95"/>
      <c r="T2" s="91" t="s">
        <v>135</v>
      </c>
    </row>
    <row r="3" spans="2:20" ht="17.25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91</v>
      </c>
      <c r="E5" s="26">
        <v>66000</v>
      </c>
      <c r="F5" s="26">
        <f>G5*25</f>
        <v>66000</v>
      </c>
      <c r="G5" s="26">
        <v>2640</v>
      </c>
      <c r="H5" s="22"/>
      <c r="I5" s="6"/>
      <c r="J5" s="6"/>
      <c r="K5" s="6"/>
      <c r="L5" s="6"/>
      <c r="M5" s="6"/>
      <c r="N5" s="6"/>
      <c r="O5" s="10"/>
      <c r="P5" s="26">
        <f>H5+J5+L5+N5</f>
        <v>0</v>
      </c>
      <c r="Q5" s="26">
        <f>I5+K5+M5+O5</f>
        <v>0</v>
      </c>
      <c r="R5" s="26">
        <f>F5-P5</f>
        <v>66000</v>
      </c>
      <c r="S5" s="26">
        <f>G5-Q5</f>
        <v>2640</v>
      </c>
      <c r="T5" s="26">
        <f>E5-P5</f>
        <v>66000</v>
      </c>
    </row>
    <row r="6" spans="2:20" ht="14.25">
      <c r="B6" s="80"/>
      <c r="C6" s="71" t="s">
        <v>137</v>
      </c>
      <c r="D6" s="18"/>
      <c r="E6" s="27"/>
      <c r="F6" s="27"/>
      <c r="G6" s="27"/>
      <c r="H6" s="23"/>
      <c r="I6" s="7"/>
      <c r="J6" s="7"/>
      <c r="K6" s="7"/>
      <c r="L6" s="7"/>
      <c r="M6" s="7"/>
      <c r="N6" s="7"/>
      <c r="O6" s="11"/>
      <c r="P6" s="26"/>
      <c r="Q6" s="26"/>
      <c r="R6" s="26"/>
      <c r="S6" s="26"/>
      <c r="T6" s="26"/>
    </row>
    <row r="7" spans="2:20" ht="14.25">
      <c r="B7" s="80"/>
      <c r="C7" s="71" t="s">
        <v>138</v>
      </c>
      <c r="D7" s="18"/>
      <c r="E7" s="27"/>
      <c r="F7" s="27"/>
      <c r="G7" s="27"/>
      <c r="H7" s="23"/>
      <c r="I7" s="7"/>
      <c r="J7" s="7"/>
      <c r="K7" s="7"/>
      <c r="L7" s="7"/>
      <c r="M7" s="7"/>
      <c r="N7" s="7"/>
      <c r="O7" s="11"/>
      <c r="P7" s="26"/>
      <c r="Q7" s="26"/>
      <c r="R7" s="26"/>
      <c r="S7" s="26"/>
      <c r="T7" s="26"/>
    </row>
    <row r="8" spans="2:20" ht="14.25">
      <c r="B8" s="80"/>
      <c r="C8" s="71" t="s">
        <v>139</v>
      </c>
      <c r="D8" s="18"/>
      <c r="E8" s="27"/>
      <c r="F8" s="27"/>
      <c r="G8" s="27"/>
      <c r="H8" s="23"/>
      <c r="I8" s="7"/>
      <c r="J8" s="7"/>
      <c r="K8" s="7"/>
      <c r="L8" s="7"/>
      <c r="M8" s="7"/>
      <c r="N8" s="7"/>
      <c r="O8" s="11"/>
      <c r="P8" s="27"/>
      <c r="Q8" s="27"/>
      <c r="R8" s="27"/>
      <c r="S8" s="27"/>
      <c r="T8" s="26"/>
    </row>
    <row r="9" spans="2:20" ht="14.25">
      <c r="B9" s="80"/>
      <c r="C9" s="71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6"/>
    </row>
    <row r="10" spans="2:20" ht="14.25">
      <c r="B10" s="80"/>
      <c r="C10" s="71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6"/>
    </row>
    <row r="11" spans="2:20" ht="15" thickBot="1">
      <c r="B11" s="80"/>
      <c r="C11" s="72" t="s">
        <v>142</v>
      </c>
      <c r="D11" s="19"/>
      <c r="E11" s="28"/>
      <c r="F11" s="27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6"/>
    </row>
    <row r="12" spans="2:20" ht="15" thickBot="1">
      <c r="B12" s="81"/>
      <c r="C12" s="16" t="s">
        <v>5</v>
      </c>
      <c r="D12" s="20"/>
      <c r="E12" s="29">
        <f>SUM(E5:E11)</f>
        <v>66000</v>
      </c>
      <c r="F12" s="29">
        <f aca="true" t="shared" si="0" ref="F12:S12">SUM(F5:F11)</f>
        <v>66000</v>
      </c>
      <c r="G12" s="29">
        <f t="shared" si="0"/>
        <v>2640</v>
      </c>
      <c r="H12" s="25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0</v>
      </c>
      <c r="L12" s="9">
        <f t="shared" si="0"/>
        <v>0</v>
      </c>
      <c r="M12" s="9">
        <f t="shared" si="0"/>
        <v>0</v>
      </c>
      <c r="N12" s="9">
        <f t="shared" si="0"/>
        <v>0</v>
      </c>
      <c r="O12" s="9">
        <f t="shared" si="0"/>
        <v>0</v>
      </c>
      <c r="P12" s="29">
        <f t="shared" si="0"/>
        <v>0</v>
      </c>
      <c r="Q12" s="29">
        <f t="shared" si="0"/>
        <v>0</v>
      </c>
      <c r="R12" s="29">
        <f t="shared" si="0"/>
        <v>66000</v>
      </c>
      <c r="S12" s="29">
        <f t="shared" si="0"/>
        <v>2640</v>
      </c>
      <c r="T12" s="29">
        <f>SUM(T5:T11)</f>
        <v>66000</v>
      </c>
    </row>
    <row r="13" spans="2:20" ht="14.25" customHeight="1">
      <c r="B13" s="79" t="s">
        <v>9</v>
      </c>
      <c r="C13" s="39" t="s">
        <v>88</v>
      </c>
      <c r="D13" s="17" t="s">
        <v>89</v>
      </c>
      <c r="E13" s="26">
        <v>132000</v>
      </c>
      <c r="F13" s="26">
        <f>G13*25</f>
        <v>136500</v>
      </c>
      <c r="G13" s="26">
        <v>5460</v>
      </c>
      <c r="H13" s="22"/>
      <c r="I13" s="6"/>
      <c r="J13" s="6"/>
      <c r="K13" s="6"/>
      <c r="L13" s="6"/>
      <c r="M13" s="6"/>
      <c r="N13" s="6"/>
      <c r="O13" s="10"/>
      <c r="P13" s="26">
        <f>H13+J13+L13+N13</f>
        <v>0</v>
      </c>
      <c r="Q13" s="26">
        <f>I13+K13+M13+O13</f>
        <v>0</v>
      </c>
      <c r="R13" s="26">
        <f>F13-P13</f>
        <v>136500</v>
      </c>
      <c r="S13" s="26">
        <f>G13-Q13</f>
        <v>5460</v>
      </c>
      <c r="T13" s="26">
        <f>E13-P13</f>
        <v>132000</v>
      </c>
    </row>
    <row r="14" spans="2:20" ht="14.25">
      <c r="B14" s="80"/>
      <c r="C14" s="39"/>
      <c r="D14" s="18"/>
      <c r="E14" s="27"/>
      <c r="F14" s="26"/>
      <c r="G14" s="27"/>
      <c r="H14" s="23"/>
      <c r="I14" s="7"/>
      <c r="J14" s="7"/>
      <c r="K14" s="7"/>
      <c r="L14" s="7"/>
      <c r="M14" s="7"/>
      <c r="N14" s="7"/>
      <c r="O14" s="11"/>
      <c r="P14" s="26"/>
      <c r="Q14" s="26"/>
      <c r="R14" s="26"/>
      <c r="S14" s="26"/>
      <c r="T14" s="26"/>
    </row>
    <row r="15" spans="2:20" ht="14.25">
      <c r="B15" s="80"/>
      <c r="C15" s="39"/>
      <c r="D15" s="18"/>
      <c r="E15" s="27"/>
      <c r="F15" s="27"/>
      <c r="G15" s="27"/>
      <c r="H15" s="23"/>
      <c r="I15" s="7"/>
      <c r="J15" s="7"/>
      <c r="K15" s="7"/>
      <c r="L15" s="7"/>
      <c r="M15" s="7"/>
      <c r="N15" s="7"/>
      <c r="O15" s="11"/>
      <c r="P15" s="26"/>
      <c r="Q15" s="26"/>
      <c r="R15" s="26"/>
      <c r="S15" s="26"/>
      <c r="T15" s="26"/>
    </row>
    <row r="16" spans="2:20" ht="14.25">
      <c r="B16" s="80"/>
      <c r="C16" s="3"/>
      <c r="D16" s="18"/>
      <c r="E16" s="27"/>
      <c r="F16" s="27"/>
      <c r="G16" s="27"/>
      <c r="H16" s="23"/>
      <c r="I16" s="7"/>
      <c r="J16" s="7"/>
      <c r="K16" s="7"/>
      <c r="L16" s="7"/>
      <c r="M16" s="7"/>
      <c r="N16" s="7"/>
      <c r="O16" s="11"/>
      <c r="P16" s="26"/>
      <c r="Q16" s="26"/>
      <c r="R16" s="26"/>
      <c r="S16" s="26"/>
      <c r="T16" s="26"/>
    </row>
    <row r="17" spans="2:20" ht="14.25">
      <c r="B17" s="80"/>
      <c r="C17" s="3"/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/>
      <c r="Q17" s="26"/>
      <c r="R17" s="26"/>
      <c r="S17" s="26"/>
      <c r="T17" s="26"/>
    </row>
    <row r="18" spans="2:20" ht="14.25">
      <c r="B18" s="80"/>
      <c r="C18" s="3"/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15" thickBot="1">
      <c r="B19" s="80"/>
      <c r="C19" s="4"/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6"/>
    </row>
    <row r="20" spans="2:20" ht="15" thickBot="1">
      <c r="B20" s="81"/>
      <c r="C20" s="16" t="s">
        <v>5</v>
      </c>
      <c r="D20" s="20"/>
      <c r="E20" s="29">
        <f>SUM(E13:E19)</f>
        <v>132000</v>
      </c>
      <c r="F20" s="29">
        <f aca="true" t="shared" si="1" ref="F20:T20">SUM(F13:F19)</f>
        <v>136500</v>
      </c>
      <c r="G20" s="29">
        <f t="shared" si="1"/>
        <v>5460</v>
      </c>
      <c r="H20" s="25">
        <f t="shared" si="1"/>
        <v>0</v>
      </c>
      <c r="I20" s="9">
        <f t="shared" si="1"/>
        <v>0</v>
      </c>
      <c r="J20" s="9">
        <f t="shared" si="1"/>
        <v>0</v>
      </c>
      <c r="K20" s="9">
        <f t="shared" si="1"/>
        <v>0</v>
      </c>
      <c r="L20" s="9">
        <f t="shared" si="1"/>
        <v>0</v>
      </c>
      <c r="M20" s="9">
        <f t="shared" si="1"/>
        <v>0</v>
      </c>
      <c r="N20" s="9">
        <f t="shared" si="1"/>
        <v>0</v>
      </c>
      <c r="O20" s="9">
        <f t="shared" si="1"/>
        <v>0</v>
      </c>
      <c r="P20" s="29">
        <f t="shared" si="1"/>
        <v>0</v>
      </c>
      <c r="Q20" s="29">
        <f t="shared" si="1"/>
        <v>0</v>
      </c>
      <c r="R20" s="29">
        <f t="shared" si="1"/>
        <v>136500</v>
      </c>
      <c r="S20" s="29">
        <f t="shared" si="1"/>
        <v>5460</v>
      </c>
      <c r="T20" s="29">
        <f t="shared" si="1"/>
        <v>132000</v>
      </c>
    </row>
    <row r="21" spans="2:20" ht="14.25">
      <c r="B21" s="79" t="s">
        <v>15</v>
      </c>
      <c r="C21" s="39" t="s">
        <v>150</v>
      </c>
      <c r="D21" s="17" t="s">
        <v>90</v>
      </c>
      <c r="E21" s="26">
        <f>299000+25000</f>
        <v>324000</v>
      </c>
      <c r="F21" s="26">
        <f>G21*25</f>
        <v>299250</v>
      </c>
      <c r="G21" s="26">
        <v>11970</v>
      </c>
      <c r="H21" s="22"/>
      <c r="I21" s="6"/>
      <c r="J21" s="6">
        <v>29412</v>
      </c>
      <c r="K21" s="6">
        <v>1165.29</v>
      </c>
      <c r="L21" s="6"/>
      <c r="M21" s="6"/>
      <c r="N21" s="6"/>
      <c r="O21" s="10"/>
      <c r="P21" s="26">
        <f>H21+J21+L21+N21</f>
        <v>29412</v>
      </c>
      <c r="Q21" s="26">
        <f>I21+K21+M21+O21</f>
        <v>1165.29</v>
      </c>
      <c r="R21" s="26">
        <f>F21-P21</f>
        <v>269838</v>
      </c>
      <c r="S21" s="26">
        <f>G21-Q21</f>
        <v>10804.71</v>
      </c>
      <c r="T21" s="26">
        <f>E21-P21</f>
        <v>294588</v>
      </c>
    </row>
    <row r="22" spans="2:20" ht="14.25">
      <c r="B22" s="80"/>
      <c r="C22" s="71" t="s">
        <v>151</v>
      </c>
      <c r="D22" s="18"/>
      <c r="E22" s="27"/>
      <c r="F22" s="27"/>
      <c r="G22" s="27"/>
      <c r="H22" s="23"/>
      <c r="I22" s="7"/>
      <c r="J22" s="7"/>
      <c r="K22" s="7"/>
      <c r="L22" s="7"/>
      <c r="M22" s="7"/>
      <c r="N22" s="7"/>
      <c r="O22" s="11"/>
      <c r="P22" s="26"/>
      <c r="Q22" s="26"/>
      <c r="R22" s="26"/>
      <c r="S22" s="26"/>
      <c r="T22" s="26"/>
    </row>
    <row r="23" spans="2:20" ht="14.25">
      <c r="B23" s="80"/>
      <c r="C23" s="71" t="s">
        <v>152</v>
      </c>
      <c r="D23" s="18"/>
      <c r="E23" s="27"/>
      <c r="F23" s="27"/>
      <c r="G23" s="27"/>
      <c r="H23" s="23"/>
      <c r="I23" s="7"/>
      <c r="J23" s="7"/>
      <c r="K23" s="7"/>
      <c r="L23" s="7"/>
      <c r="M23" s="7"/>
      <c r="N23" s="7"/>
      <c r="O23" s="11"/>
      <c r="P23" s="26"/>
      <c r="Q23" s="26"/>
      <c r="R23" s="26"/>
      <c r="S23" s="26"/>
      <c r="T23" s="26"/>
    </row>
    <row r="24" spans="2:20" ht="14.25">
      <c r="B24" s="80"/>
      <c r="C24" s="71" t="s">
        <v>153</v>
      </c>
      <c r="D24" s="18"/>
      <c r="E24" s="27"/>
      <c r="F24" s="27"/>
      <c r="G24" s="27"/>
      <c r="H24" s="23"/>
      <c r="I24" s="7"/>
      <c r="J24" s="7"/>
      <c r="K24" s="7"/>
      <c r="L24" s="7"/>
      <c r="M24" s="7"/>
      <c r="N24" s="7"/>
      <c r="O24" s="11"/>
      <c r="P24" s="27"/>
      <c r="Q24" s="27"/>
      <c r="R24" s="27"/>
      <c r="S24" s="27"/>
      <c r="T24" s="26"/>
    </row>
    <row r="25" spans="2:20" ht="14.25">
      <c r="B25" s="80"/>
      <c r="C25" s="71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7"/>
      <c r="Q25" s="27"/>
      <c r="R25" s="27"/>
      <c r="S25" s="27"/>
      <c r="T25" s="26"/>
    </row>
    <row r="26" spans="2:20" ht="14.25">
      <c r="B26" s="80"/>
      <c r="C26" s="71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6"/>
    </row>
    <row r="27" spans="2:20" ht="15" thickBot="1">
      <c r="B27" s="80"/>
      <c r="C27" s="72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6"/>
    </row>
    <row r="28" spans="2:20" ht="15" thickBot="1">
      <c r="B28" s="81"/>
      <c r="C28" s="16" t="s">
        <v>5</v>
      </c>
      <c r="D28" s="20"/>
      <c r="E28" s="29">
        <f>SUM(E21:E27)</f>
        <v>324000</v>
      </c>
      <c r="F28" s="29">
        <f aca="true" t="shared" si="2" ref="F28:T28">SUM(F21:F27)</f>
        <v>299250</v>
      </c>
      <c r="G28" s="29">
        <f t="shared" si="2"/>
        <v>11970</v>
      </c>
      <c r="H28" s="25">
        <f t="shared" si="2"/>
        <v>0</v>
      </c>
      <c r="I28" s="9">
        <f t="shared" si="2"/>
        <v>0</v>
      </c>
      <c r="J28" s="9">
        <f t="shared" si="2"/>
        <v>29412</v>
      </c>
      <c r="K28" s="9">
        <f t="shared" si="2"/>
        <v>1165.29</v>
      </c>
      <c r="L28" s="9">
        <f t="shared" si="2"/>
        <v>0</v>
      </c>
      <c r="M28" s="9">
        <f t="shared" si="2"/>
        <v>0</v>
      </c>
      <c r="N28" s="9">
        <f t="shared" si="2"/>
        <v>0</v>
      </c>
      <c r="O28" s="9">
        <f t="shared" si="2"/>
        <v>0</v>
      </c>
      <c r="P28" s="29">
        <f t="shared" si="2"/>
        <v>29412</v>
      </c>
      <c r="Q28" s="29">
        <f t="shared" si="2"/>
        <v>1165.29</v>
      </c>
      <c r="R28" s="29">
        <f t="shared" si="2"/>
        <v>269838</v>
      </c>
      <c r="S28" s="29">
        <f t="shared" si="2"/>
        <v>10804.71</v>
      </c>
      <c r="T28" s="29">
        <f t="shared" si="2"/>
        <v>294588</v>
      </c>
    </row>
    <row r="29" spans="2:20" ht="14.25">
      <c r="B29" s="79" t="s">
        <v>16</v>
      </c>
      <c r="C29" s="39" t="s">
        <v>45</v>
      </c>
      <c r="D29" s="18" t="s">
        <v>92</v>
      </c>
      <c r="E29" s="26">
        <v>124000</v>
      </c>
      <c r="F29" s="26">
        <f>G29*25</f>
        <v>134250</v>
      </c>
      <c r="G29" s="26">
        <v>5370</v>
      </c>
      <c r="H29" s="22"/>
      <c r="I29" s="6"/>
      <c r="J29" s="6"/>
      <c r="K29" s="6"/>
      <c r="L29" s="6"/>
      <c r="M29" s="6"/>
      <c r="N29" s="6"/>
      <c r="O29" s="10"/>
      <c r="P29" s="26">
        <f aca="true" t="shared" si="3" ref="P29:Q31">H29+J29+L29+N29</f>
        <v>0</v>
      </c>
      <c r="Q29" s="26">
        <f t="shared" si="3"/>
        <v>0</v>
      </c>
      <c r="R29" s="26">
        <f aca="true" t="shared" si="4" ref="R29:S31">F29-P29</f>
        <v>134250</v>
      </c>
      <c r="S29" s="26">
        <f t="shared" si="4"/>
        <v>5370</v>
      </c>
      <c r="T29" s="26">
        <f>E29-P29</f>
        <v>124000</v>
      </c>
    </row>
    <row r="30" spans="2:20" ht="14.25">
      <c r="B30" s="80"/>
      <c r="C30" s="39"/>
      <c r="D30" s="18" t="s">
        <v>93</v>
      </c>
      <c r="E30" s="27"/>
      <c r="F30" s="27">
        <f>G30*25</f>
        <v>0</v>
      </c>
      <c r="G30" s="26"/>
      <c r="H30" s="23"/>
      <c r="I30" s="7"/>
      <c r="J30" s="7"/>
      <c r="K30" s="7"/>
      <c r="L30" s="7"/>
      <c r="M30" s="7"/>
      <c r="N30" s="7"/>
      <c r="O30" s="11"/>
      <c r="P30" s="26">
        <f t="shared" si="3"/>
        <v>0</v>
      </c>
      <c r="Q30" s="26">
        <f t="shared" si="3"/>
        <v>0</v>
      </c>
      <c r="R30" s="26">
        <f t="shared" si="4"/>
        <v>0</v>
      </c>
      <c r="S30" s="26">
        <f t="shared" si="4"/>
        <v>0</v>
      </c>
      <c r="T30" s="26"/>
    </row>
    <row r="31" spans="2:20" ht="15">
      <c r="B31" s="80"/>
      <c r="C31" s="39"/>
      <c r="D31" s="18" t="s">
        <v>94</v>
      </c>
      <c r="E31" s="27"/>
      <c r="F31" s="27">
        <f>G31*25</f>
        <v>0</v>
      </c>
      <c r="G31" s="27"/>
      <c r="H31" s="23"/>
      <c r="I31" s="7"/>
      <c r="J31" s="7"/>
      <c r="K31" s="7"/>
      <c r="L31" s="7"/>
      <c r="M31" s="7"/>
      <c r="N31" s="7"/>
      <c r="O31" s="11"/>
      <c r="P31" s="26">
        <f t="shared" si="3"/>
        <v>0</v>
      </c>
      <c r="Q31" s="26">
        <f t="shared" si="3"/>
        <v>0</v>
      </c>
      <c r="R31" s="26">
        <f t="shared" si="4"/>
        <v>0</v>
      </c>
      <c r="S31" s="26">
        <f t="shared" si="4"/>
        <v>0</v>
      </c>
      <c r="T31" s="26"/>
    </row>
    <row r="32" spans="2:20" ht="14.25">
      <c r="B32" s="80"/>
      <c r="C32" s="39" t="s">
        <v>46</v>
      </c>
      <c r="D32" s="18" t="s">
        <v>95</v>
      </c>
      <c r="E32" s="27">
        <v>61000</v>
      </c>
      <c r="F32" s="27">
        <f>G32*25</f>
        <v>71000</v>
      </c>
      <c r="G32" s="27">
        <v>2840</v>
      </c>
      <c r="H32" s="23"/>
      <c r="I32" s="7"/>
      <c r="J32" s="7"/>
      <c r="K32" s="7"/>
      <c r="L32" s="7"/>
      <c r="M32" s="7"/>
      <c r="N32" s="7"/>
      <c r="O32" s="11"/>
      <c r="P32" s="26">
        <f>H32+J32+L32+N32</f>
        <v>0</v>
      </c>
      <c r="Q32" s="26">
        <f>I32+K32+M32+O32</f>
        <v>0</v>
      </c>
      <c r="R32" s="26">
        <f>F32-P32</f>
        <v>71000</v>
      </c>
      <c r="S32" s="26">
        <f>G32-Q32</f>
        <v>2840</v>
      </c>
      <c r="T32" s="26">
        <f>E32-P32</f>
        <v>61000</v>
      </c>
    </row>
    <row r="33" spans="2:20" ht="14.25">
      <c r="B33" s="80"/>
      <c r="C33" s="39"/>
      <c r="D33" s="18"/>
      <c r="E33" s="27"/>
      <c r="F33" s="27"/>
      <c r="G33" s="27"/>
      <c r="H33" s="23"/>
      <c r="I33" s="7"/>
      <c r="J33" s="7"/>
      <c r="K33" s="7"/>
      <c r="L33" s="7"/>
      <c r="M33" s="7"/>
      <c r="N33" s="7"/>
      <c r="O33" s="11"/>
      <c r="P33" s="26"/>
      <c r="Q33" s="26"/>
      <c r="R33" s="26"/>
      <c r="S33" s="26"/>
      <c r="T33" s="26"/>
    </row>
    <row r="34" spans="2:20" ht="14.25">
      <c r="B34" s="80"/>
      <c r="C34" s="39"/>
      <c r="D34" s="18"/>
      <c r="E34" s="27"/>
      <c r="F34" s="27"/>
      <c r="G34" s="27"/>
      <c r="H34" s="23"/>
      <c r="I34" s="7"/>
      <c r="J34" s="7"/>
      <c r="K34" s="7"/>
      <c r="L34" s="7"/>
      <c r="M34" s="7"/>
      <c r="N34" s="7"/>
      <c r="O34" s="11"/>
      <c r="P34" s="27"/>
      <c r="Q34" s="27"/>
      <c r="R34" s="27"/>
      <c r="S34" s="27"/>
      <c r="T34" s="26"/>
    </row>
    <row r="35" spans="2:20" ht="15" thickBot="1">
      <c r="B35" s="80"/>
      <c r="C35" s="4"/>
      <c r="D35" s="19"/>
      <c r="E35" s="28"/>
      <c r="F35" s="28"/>
      <c r="G35" s="28"/>
      <c r="H35" s="24"/>
      <c r="I35" s="8"/>
      <c r="J35" s="8"/>
      <c r="K35" s="8"/>
      <c r="L35" s="8"/>
      <c r="M35" s="8"/>
      <c r="N35" s="8"/>
      <c r="O35" s="12"/>
      <c r="P35" s="28"/>
      <c r="Q35" s="28"/>
      <c r="R35" s="28"/>
      <c r="S35" s="28"/>
      <c r="T35" s="26"/>
    </row>
    <row r="36" spans="2:20" ht="15" thickBot="1">
      <c r="B36" s="81"/>
      <c r="C36" s="16" t="s">
        <v>5</v>
      </c>
      <c r="D36" s="20"/>
      <c r="E36" s="29">
        <f>SUM(E29:E35)</f>
        <v>185000</v>
      </c>
      <c r="F36" s="29">
        <f aca="true" t="shared" si="5" ref="F36:T36">SUM(F29:F35)</f>
        <v>205250</v>
      </c>
      <c r="G36" s="29">
        <f t="shared" si="5"/>
        <v>8210</v>
      </c>
      <c r="H36" s="25">
        <f t="shared" si="5"/>
        <v>0</v>
      </c>
      <c r="I36" s="9">
        <f t="shared" si="5"/>
        <v>0</v>
      </c>
      <c r="J36" s="9">
        <f t="shared" si="5"/>
        <v>0</v>
      </c>
      <c r="K36" s="9">
        <f t="shared" si="5"/>
        <v>0</v>
      </c>
      <c r="L36" s="9">
        <f t="shared" si="5"/>
        <v>0</v>
      </c>
      <c r="M36" s="9">
        <f t="shared" si="5"/>
        <v>0</v>
      </c>
      <c r="N36" s="9">
        <f t="shared" si="5"/>
        <v>0</v>
      </c>
      <c r="O36" s="9">
        <f t="shared" si="5"/>
        <v>0</v>
      </c>
      <c r="P36" s="29">
        <f t="shared" si="5"/>
        <v>0</v>
      </c>
      <c r="Q36" s="29">
        <f t="shared" si="5"/>
        <v>0</v>
      </c>
      <c r="R36" s="29">
        <f t="shared" si="5"/>
        <v>205250</v>
      </c>
      <c r="S36" s="29">
        <f t="shared" si="5"/>
        <v>8210</v>
      </c>
      <c r="T36" s="29">
        <f t="shared" si="5"/>
        <v>185000</v>
      </c>
    </row>
    <row r="37" spans="2:20" ht="14.25">
      <c r="B37" s="79" t="s">
        <v>17</v>
      </c>
      <c r="C37" s="39" t="s">
        <v>96</v>
      </c>
      <c r="D37" s="17" t="s">
        <v>97</v>
      </c>
      <c r="E37" s="26">
        <v>8293000</v>
      </c>
      <c r="F37" s="27">
        <f>G37*25</f>
        <v>8293000</v>
      </c>
      <c r="G37" s="26">
        <v>331720</v>
      </c>
      <c r="H37" s="22"/>
      <c r="I37" s="6"/>
      <c r="J37" s="6">
        <f>J38+J39</f>
        <v>7782024</v>
      </c>
      <c r="K37" s="6">
        <f>K38+K39</f>
        <v>308321.08</v>
      </c>
      <c r="L37" s="6"/>
      <c r="M37" s="6"/>
      <c r="N37" s="6"/>
      <c r="O37" s="10"/>
      <c r="P37" s="26">
        <f aca="true" t="shared" si="6" ref="P37:Q39">H37+J37+L37+N37</f>
        <v>7782024</v>
      </c>
      <c r="Q37" s="26">
        <f t="shared" si="6"/>
        <v>308321.08</v>
      </c>
      <c r="R37" s="26">
        <f>F37-P37</f>
        <v>510976</v>
      </c>
      <c r="S37" s="26">
        <f>G37-Q37</f>
        <v>23398.919999999984</v>
      </c>
      <c r="T37" s="26">
        <f>E37-P37</f>
        <v>510976</v>
      </c>
    </row>
    <row r="38" spans="2:20" ht="14.25">
      <c r="B38" s="80"/>
      <c r="C38" s="39"/>
      <c r="D38" s="46" t="s">
        <v>101</v>
      </c>
      <c r="E38" s="27"/>
      <c r="F38" s="47"/>
      <c r="G38" s="48"/>
      <c r="H38" s="49"/>
      <c r="I38" s="50"/>
      <c r="J38" s="50">
        <v>5207760</v>
      </c>
      <c r="K38" s="50">
        <v>206329.64</v>
      </c>
      <c r="L38" s="50"/>
      <c r="M38" s="50"/>
      <c r="N38" s="50"/>
      <c r="O38" s="51"/>
      <c r="P38" s="52">
        <f t="shared" si="6"/>
        <v>5207760</v>
      </c>
      <c r="Q38" s="52">
        <f t="shared" si="6"/>
        <v>206329.64</v>
      </c>
      <c r="R38" s="52">
        <v>272240</v>
      </c>
      <c r="S38" s="52"/>
      <c r="T38" s="26"/>
    </row>
    <row r="39" spans="2:20" ht="14.25">
      <c r="B39" s="80"/>
      <c r="C39" s="3"/>
      <c r="D39" s="46" t="s">
        <v>98</v>
      </c>
      <c r="E39" s="27"/>
      <c r="F39" s="48"/>
      <c r="G39" s="48"/>
      <c r="H39" s="49"/>
      <c r="I39" s="50"/>
      <c r="J39" s="50">
        <v>2574264</v>
      </c>
      <c r="K39" s="50">
        <v>101991.44</v>
      </c>
      <c r="L39" s="50"/>
      <c r="M39" s="50"/>
      <c r="N39" s="50"/>
      <c r="O39" s="51"/>
      <c r="P39" s="52">
        <f t="shared" si="6"/>
        <v>2574264</v>
      </c>
      <c r="Q39" s="52">
        <f t="shared" si="6"/>
        <v>101991.44</v>
      </c>
      <c r="R39" s="52">
        <v>238736</v>
      </c>
      <c r="S39" s="52"/>
      <c r="T39" s="26"/>
    </row>
    <row r="40" spans="2:20" ht="15">
      <c r="B40" s="80"/>
      <c r="C40" s="3"/>
      <c r="D40" s="18" t="s">
        <v>99</v>
      </c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45"/>
      <c r="Q40" s="45"/>
      <c r="R40" s="45"/>
      <c r="S40" s="45"/>
      <c r="T40" s="26"/>
    </row>
    <row r="41" spans="2:20" ht="14.25">
      <c r="B41" s="80"/>
      <c r="C41" s="3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6"/>
    </row>
    <row r="42" spans="2:20" ht="14.25">
      <c r="B42" s="80"/>
      <c r="C42" s="3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6"/>
    </row>
    <row r="43" spans="2:20" ht="15" thickBot="1">
      <c r="B43" s="80"/>
      <c r="C43" s="4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6"/>
    </row>
    <row r="44" spans="2:20" ht="15" thickBot="1">
      <c r="B44" s="81"/>
      <c r="C44" s="5" t="s">
        <v>5</v>
      </c>
      <c r="D44" s="20"/>
      <c r="E44" s="31">
        <f>SUM(E37:E43)</f>
        <v>8293000</v>
      </c>
      <c r="F44" s="31">
        <f>SUM(F37:F43)</f>
        <v>8293000</v>
      </c>
      <c r="G44" s="31">
        <f>SUM(G37:G43)</f>
        <v>331720</v>
      </c>
      <c r="H44" s="34">
        <f>SUM(H37:H43)</f>
        <v>0</v>
      </c>
      <c r="I44" s="9">
        <f>SUM(I37:I43)</f>
        <v>0</v>
      </c>
      <c r="J44" s="9">
        <f aca="true" t="shared" si="7" ref="J44:S44">SUM(J37)</f>
        <v>7782024</v>
      </c>
      <c r="K44" s="9">
        <f t="shared" si="7"/>
        <v>308321.08</v>
      </c>
      <c r="L44" s="9">
        <f t="shared" si="7"/>
        <v>0</v>
      </c>
      <c r="M44" s="9">
        <f t="shared" si="7"/>
        <v>0</v>
      </c>
      <c r="N44" s="9">
        <f t="shared" si="7"/>
        <v>0</v>
      </c>
      <c r="O44" s="9">
        <f t="shared" si="7"/>
        <v>0</v>
      </c>
      <c r="P44" s="29">
        <f t="shared" si="7"/>
        <v>7782024</v>
      </c>
      <c r="Q44" s="29">
        <f t="shared" si="7"/>
        <v>308321.08</v>
      </c>
      <c r="R44" s="29">
        <f t="shared" si="7"/>
        <v>510976</v>
      </c>
      <c r="S44" s="29">
        <f t="shared" si="7"/>
        <v>23398.919999999984</v>
      </c>
      <c r="T44" s="29">
        <f>SUM(T37:T43)</f>
        <v>510976</v>
      </c>
    </row>
    <row r="45" spans="2:20" ht="16.5" thickBot="1">
      <c r="B45" s="77" t="s">
        <v>18</v>
      </c>
      <c r="C45" s="78"/>
      <c r="D45" s="78"/>
      <c r="E45" s="32">
        <f>SUM(E12+E20+E28+E36+E44)</f>
        <v>9000000</v>
      </c>
      <c r="F45" s="41">
        <f aca="true" t="shared" si="8" ref="F45:S45">SUM(F12+F20+F28+F36+F44)</f>
        <v>9000000</v>
      </c>
      <c r="G45" s="41">
        <f t="shared" si="8"/>
        <v>360000</v>
      </c>
      <c r="H45" s="42">
        <f t="shared" si="8"/>
        <v>0</v>
      </c>
      <c r="I45" s="43">
        <f t="shared" si="8"/>
        <v>0</v>
      </c>
      <c r="J45" s="43">
        <f t="shared" si="8"/>
        <v>7811436</v>
      </c>
      <c r="K45" s="43">
        <f t="shared" si="8"/>
        <v>309486.37</v>
      </c>
      <c r="L45" s="43">
        <f t="shared" si="8"/>
        <v>0</v>
      </c>
      <c r="M45" s="43">
        <f t="shared" si="8"/>
        <v>0</v>
      </c>
      <c r="N45" s="43">
        <f t="shared" si="8"/>
        <v>0</v>
      </c>
      <c r="O45" s="44">
        <f t="shared" si="8"/>
        <v>0</v>
      </c>
      <c r="P45" s="32">
        <f t="shared" si="8"/>
        <v>7811436</v>
      </c>
      <c r="Q45" s="32">
        <f t="shared" si="8"/>
        <v>309486.37</v>
      </c>
      <c r="R45" s="32">
        <f t="shared" si="8"/>
        <v>1188564</v>
      </c>
      <c r="S45" s="32">
        <f t="shared" si="8"/>
        <v>50513.62999999998</v>
      </c>
      <c r="T45" s="32">
        <f>SUM(T12+T20+T28+T36+T44)</f>
        <v>1188564</v>
      </c>
    </row>
    <row r="46" spans="2:20" s="60" customFormat="1" ht="15" thickBot="1">
      <c r="B46" s="82" t="s">
        <v>126</v>
      </c>
      <c r="C46" s="83"/>
      <c r="D46" s="84"/>
      <c r="E46" s="58">
        <f>E45*0.85</f>
        <v>7650000</v>
      </c>
      <c r="F46" s="58">
        <f aca="true" t="shared" si="9" ref="F46:K46">F45*0.85</f>
        <v>7650000</v>
      </c>
      <c r="G46" s="58">
        <f t="shared" si="9"/>
        <v>306000</v>
      </c>
      <c r="H46" s="58">
        <f t="shared" si="9"/>
        <v>0</v>
      </c>
      <c r="I46" s="59">
        <f t="shared" si="9"/>
        <v>0</v>
      </c>
      <c r="J46" s="58">
        <f t="shared" si="9"/>
        <v>6639720.6</v>
      </c>
      <c r="K46" s="59">
        <f t="shared" si="9"/>
        <v>263063.4145</v>
      </c>
      <c r="L46" s="58"/>
      <c r="M46" s="58"/>
      <c r="N46" s="58"/>
      <c r="O46" s="58"/>
      <c r="P46" s="62">
        <f aca="true" t="shared" si="10" ref="P46:Q48">H46+J46+L46+N46</f>
        <v>6639720.6</v>
      </c>
      <c r="Q46" s="62">
        <f t="shared" si="10"/>
        <v>263063.4145</v>
      </c>
      <c r="R46" s="62">
        <f aca="true" t="shared" si="11" ref="R46:S48">F46-P46</f>
        <v>1010279.4000000004</v>
      </c>
      <c r="S46" s="62">
        <f t="shared" si="11"/>
        <v>42936.58549999999</v>
      </c>
      <c r="T46" s="62">
        <f>E46-P46</f>
        <v>1010279.4000000004</v>
      </c>
    </row>
    <row r="47" spans="2:20" s="60" customFormat="1" ht="15" thickBot="1">
      <c r="B47" s="85" t="s">
        <v>127</v>
      </c>
      <c r="C47" s="86"/>
      <c r="D47" s="87"/>
      <c r="E47" s="61">
        <f>E45*0.15</f>
        <v>1350000</v>
      </c>
      <c r="F47" s="61">
        <f aca="true" t="shared" si="12" ref="F47:K47">F45*0.15</f>
        <v>1350000</v>
      </c>
      <c r="G47" s="61">
        <f t="shared" si="12"/>
        <v>54000</v>
      </c>
      <c r="H47" s="61">
        <f t="shared" si="12"/>
        <v>0</v>
      </c>
      <c r="I47" s="61">
        <f t="shared" si="12"/>
        <v>0</v>
      </c>
      <c r="J47" s="61">
        <f t="shared" si="12"/>
        <v>1171715.4</v>
      </c>
      <c r="K47" s="61">
        <f t="shared" si="12"/>
        <v>46422.9555</v>
      </c>
      <c r="L47" s="61"/>
      <c r="M47" s="61"/>
      <c r="N47" s="61"/>
      <c r="O47" s="61"/>
      <c r="P47" s="68">
        <f t="shared" si="10"/>
        <v>1171715.4</v>
      </c>
      <c r="Q47" s="68">
        <f t="shared" si="10"/>
        <v>46422.9555</v>
      </c>
      <c r="R47" s="68">
        <f t="shared" si="11"/>
        <v>178284.6000000001</v>
      </c>
      <c r="S47" s="68">
        <f t="shared" si="11"/>
        <v>7577.044500000004</v>
      </c>
      <c r="T47" s="68">
        <f>E47-P47</f>
        <v>178284.6000000001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7650000</v>
      </c>
      <c r="G48" s="67">
        <f>G46</f>
        <v>306000</v>
      </c>
      <c r="H48" s="63">
        <v>0</v>
      </c>
      <c r="I48" s="63">
        <v>0</v>
      </c>
      <c r="J48" s="63"/>
      <c r="K48" s="63"/>
      <c r="L48" s="63"/>
      <c r="M48" s="63"/>
      <c r="N48" s="63"/>
      <c r="O48" s="63"/>
      <c r="P48" s="64">
        <f t="shared" si="10"/>
        <v>0</v>
      </c>
      <c r="Q48" s="64">
        <f t="shared" si="10"/>
        <v>0</v>
      </c>
      <c r="R48" s="64">
        <f t="shared" si="11"/>
        <v>7650000</v>
      </c>
      <c r="S48" s="65">
        <f t="shared" si="11"/>
        <v>306000</v>
      </c>
      <c r="T48" s="65"/>
    </row>
    <row r="49" ht="14.25" thickBot="1" thickTop="1">
      <c r="H49" s="40"/>
    </row>
    <row r="50" spans="2:20" ht="12.75" customHeight="1">
      <c r="B50" s="112" t="s">
        <v>174</v>
      </c>
      <c r="C50" s="113"/>
      <c r="D50" s="123"/>
      <c r="E50" s="121">
        <f aca="true" t="shared" si="13" ref="E50:M50">SUM(E12+E20+E28+E36)</f>
        <v>707000</v>
      </c>
      <c r="F50" s="114">
        <f t="shared" si="13"/>
        <v>707000</v>
      </c>
      <c r="G50" s="114">
        <f t="shared" si="13"/>
        <v>28280</v>
      </c>
      <c r="H50" s="114">
        <f t="shared" si="13"/>
        <v>0</v>
      </c>
      <c r="I50" s="114">
        <f t="shared" si="13"/>
        <v>0</v>
      </c>
      <c r="J50" s="114">
        <f t="shared" si="13"/>
        <v>29412</v>
      </c>
      <c r="K50" s="114">
        <f t="shared" si="13"/>
        <v>1165.29</v>
      </c>
      <c r="L50" s="114">
        <f t="shared" si="13"/>
        <v>0</v>
      </c>
      <c r="M50" s="114">
        <f t="shared" si="13"/>
        <v>0</v>
      </c>
      <c r="N50" s="115"/>
      <c r="O50" s="115"/>
      <c r="P50" s="114">
        <f>SUM(H50+J50+L50)</f>
        <v>29412</v>
      </c>
      <c r="Q50" s="114">
        <f>SUM(Q12+Q20+Q28+Q36)</f>
        <v>1165.29</v>
      </c>
      <c r="R50" s="114">
        <f>SUM(R12+R20+R28+R36)</f>
        <v>677588</v>
      </c>
      <c r="S50" s="114">
        <f>SUM(S12+S20+S28+S36)</f>
        <v>27114.71</v>
      </c>
      <c r="T50" s="116">
        <f>SUM(E50-P50)</f>
        <v>677588</v>
      </c>
    </row>
    <row r="51" spans="2:20" ht="13.5" customHeight="1" thickBot="1">
      <c r="B51" s="117" t="s">
        <v>176</v>
      </c>
      <c r="C51" s="118"/>
      <c r="D51" s="124"/>
      <c r="E51" s="122">
        <f>SUM(E44)</f>
        <v>8293000</v>
      </c>
      <c r="F51" s="119">
        <f aca="true" t="shared" si="14" ref="F51:T51">SUM(F44)</f>
        <v>8293000</v>
      </c>
      <c r="G51" s="119">
        <f t="shared" si="14"/>
        <v>331720</v>
      </c>
      <c r="H51" s="119">
        <f t="shared" si="14"/>
        <v>0</v>
      </c>
      <c r="I51" s="119">
        <f t="shared" si="14"/>
        <v>0</v>
      </c>
      <c r="J51" s="119">
        <f t="shared" si="14"/>
        <v>7782024</v>
      </c>
      <c r="K51" s="119">
        <f t="shared" si="14"/>
        <v>308321.08</v>
      </c>
      <c r="L51" s="119">
        <f t="shared" si="14"/>
        <v>0</v>
      </c>
      <c r="M51" s="119">
        <f t="shared" si="14"/>
        <v>0</v>
      </c>
      <c r="N51" s="119">
        <f t="shared" si="14"/>
        <v>0</v>
      </c>
      <c r="O51" s="119">
        <f t="shared" si="14"/>
        <v>0</v>
      </c>
      <c r="P51" s="119">
        <f t="shared" si="14"/>
        <v>7782024</v>
      </c>
      <c r="Q51" s="119">
        <f t="shared" si="14"/>
        <v>308321.08</v>
      </c>
      <c r="R51" s="119">
        <f t="shared" si="14"/>
        <v>510976</v>
      </c>
      <c r="S51" s="119">
        <f t="shared" si="14"/>
        <v>23398.919999999984</v>
      </c>
      <c r="T51" s="120">
        <f t="shared" si="14"/>
        <v>510976</v>
      </c>
    </row>
  </sheetData>
  <sheetProtection/>
  <mergeCells count="29">
    <mergeCell ref="B50:D50"/>
    <mergeCell ref="B51:D51"/>
    <mergeCell ref="R2:S2"/>
    <mergeCell ref="R3:R4"/>
    <mergeCell ref="S3:S4"/>
    <mergeCell ref="B47:D47"/>
    <mergeCell ref="B13:B20"/>
    <mergeCell ref="B21:B28"/>
    <mergeCell ref="B29:B36"/>
    <mergeCell ref="B37:B44"/>
    <mergeCell ref="B45:D45"/>
    <mergeCell ref="B46:D46"/>
    <mergeCell ref="L3:M3"/>
    <mergeCell ref="N3:O3"/>
    <mergeCell ref="B5:B12"/>
    <mergeCell ref="E2:E4"/>
    <mergeCell ref="F2:G2"/>
    <mergeCell ref="F3:F4"/>
    <mergeCell ref="G3:G4"/>
    <mergeCell ref="T2:T4"/>
    <mergeCell ref="B48:D48"/>
    <mergeCell ref="B1:R1"/>
    <mergeCell ref="C2:C4"/>
    <mergeCell ref="D2:D4"/>
    <mergeCell ref="H2:O2"/>
    <mergeCell ref="P2:P4"/>
    <mergeCell ref="Q2:Q4"/>
    <mergeCell ref="H3:I3"/>
    <mergeCell ref="J3:K3"/>
  </mergeCells>
  <printOptions/>
  <pageMargins left="0.17" right="0.16" top="0.7874015748031497" bottom="0.7874015748031497" header="0.31496062992125984" footer="0.31496062992125984"/>
  <pageSetup fitToHeight="1" fitToWidth="1" horizontalDpi="600" verticalDpi="600" orientation="landscape" paperSize="9" scale="51" r:id="rId1"/>
  <ignoredErrors>
    <ignoredError sqref="C13 C29 C32 C37" twoDigitTextYear="1"/>
    <ignoredError sqref="J4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1"/>
  <sheetViews>
    <sheetView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5" sqref="A15"/>
    </sheetView>
  </sheetViews>
  <sheetFormatPr defaultColWidth="9.140625" defaultRowHeight="12.75"/>
  <cols>
    <col min="1" max="1" width="1.8515625" style="0" customWidth="1"/>
    <col min="3" max="3" width="11.8515625" style="0" customWidth="1"/>
    <col min="4" max="4" width="67.7109375" style="0" customWidth="1"/>
    <col min="5" max="5" width="20.00390625" style="0" customWidth="1"/>
    <col min="6" max="6" width="16.00390625" style="0" customWidth="1"/>
    <col min="7" max="7" width="13.7109375" style="0" customWidth="1"/>
    <col min="8" max="8" width="12.8515625" style="0" hidden="1" customWidth="1"/>
    <col min="9" max="9" width="11.8515625" style="0" hidden="1" customWidth="1"/>
    <col min="10" max="11" width="13.7109375" style="0" hidden="1" customWidth="1"/>
    <col min="12" max="15" width="13.7109375" style="0" customWidth="1"/>
    <col min="16" max="16" width="17.421875" style="0" customWidth="1"/>
    <col min="17" max="17" width="14.7109375" style="0" customWidth="1"/>
    <col min="18" max="18" width="15.421875" style="0" customWidth="1"/>
    <col min="19" max="19" width="14.7109375" style="0" customWidth="1"/>
    <col min="20" max="20" width="18.57421875" style="0" customWidth="1"/>
  </cols>
  <sheetData>
    <row r="1" spans="2:18" ht="26.25" customHeight="1" thickBot="1">
      <c r="B1" s="100" t="s">
        <v>129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</row>
    <row r="2" spans="2:20" ht="19.5" customHeight="1" thickBot="1">
      <c r="B2" s="1"/>
      <c r="C2" s="101" t="s">
        <v>1</v>
      </c>
      <c r="D2" s="101" t="s">
        <v>2</v>
      </c>
      <c r="E2" s="96" t="s">
        <v>165</v>
      </c>
      <c r="F2" s="94" t="s">
        <v>133</v>
      </c>
      <c r="G2" s="95"/>
      <c r="H2" s="78" t="s">
        <v>29</v>
      </c>
      <c r="I2" s="78"/>
      <c r="J2" s="78"/>
      <c r="K2" s="78"/>
      <c r="L2" s="78"/>
      <c r="M2" s="78"/>
      <c r="N2" s="78"/>
      <c r="O2" s="78"/>
      <c r="P2" s="91" t="s">
        <v>30</v>
      </c>
      <c r="Q2" s="91" t="s">
        <v>31</v>
      </c>
      <c r="R2" s="94" t="s">
        <v>133</v>
      </c>
      <c r="S2" s="95"/>
      <c r="T2" s="91" t="s">
        <v>135</v>
      </c>
    </row>
    <row r="3" spans="2:20" ht="18" customHeight="1" thickBot="1">
      <c r="B3" s="1"/>
      <c r="C3" s="102"/>
      <c r="D3" s="102"/>
      <c r="E3" s="104"/>
      <c r="F3" s="96" t="s">
        <v>28</v>
      </c>
      <c r="G3" s="96" t="s">
        <v>3</v>
      </c>
      <c r="H3" s="90">
        <v>2009</v>
      </c>
      <c r="I3" s="89"/>
      <c r="J3" s="88">
        <v>2010</v>
      </c>
      <c r="K3" s="89"/>
      <c r="L3" s="88">
        <v>2011</v>
      </c>
      <c r="M3" s="89"/>
      <c r="N3" s="88">
        <v>2012</v>
      </c>
      <c r="O3" s="90"/>
      <c r="P3" s="92"/>
      <c r="Q3" s="92"/>
      <c r="R3" s="91" t="s">
        <v>24</v>
      </c>
      <c r="S3" s="91" t="s">
        <v>25</v>
      </c>
      <c r="T3" s="92"/>
    </row>
    <row r="4" spans="2:20" ht="14.25" customHeight="1" thickBot="1">
      <c r="B4" s="1"/>
      <c r="C4" s="103"/>
      <c r="D4" s="103"/>
      <c r="E4" s="97"/>
      <c r="F4" s="97"/>
      <c r="G4" s="97"/>
      <c r="H4" s="13" t="s">
        <v>26</v>
      </c>
      <c r="I4" s="15" t="s">
        <v>27</v>
      </c>
      <c r="J4" s="14" t="s">
        <v>26</v>
      </c>
      <c r="K4" s="15" t="s">
        <v>27</v>
      </c>
      <c r="L4" s="14" t="s">
        <v>26</v>
      </c>
      <c r="M4" s="15" t="s">
        <v>27</v>
      </c>
      <c r="N4" s="14" t="s">
        <v>26</v>
      </c>
      <c r="O4" s="33" t="s">
        <v>27</v>
      </c>
      <c r="P4" s="93"/>
      <c r="Q4" s="93"/>
      <c r="R4" s="93"/>
      <c r="S4" s="93"/>
      <c r="T4" s="93"/>
    </row>
    <row r="5" spans="2:20" ht="13.5" customHeight="1">
      <c r="B5" s="79" t="s">
        <v>4</v>
      </c>
      <c r="C5" s="39" t="s">
        <v>136</v>
      </c>
      <c r="D5" s="17" t="s">
        <v>105</v>
      </c>
      <c r="E5" s="26">
        <v>89000</v>
      </c>
      <c r="F5" s="26">
        <v>88704</v>
      </c>
      <c r="G5" s="26">
        <v>3168</v>
      </c>
      <c r="H5" s="22"/>
      <c r="I5" s="6"/>
      <c r="J5" s="6"/>
      <c r="K5" s="6"/>
      <c r="L5" s="6"/>
      <c r="M5" s="6"/>
      <c r="N5" s="6"/>
      <c r="O5" s="10"/>
      <c r="P5" s="26">
        <f aca="true" t="shared" si="0" ref="P5:Q7">H5+J5+L5+N5</f>
        <v>0</v>
      </c>
      <c r="Q5" s="26">
        <f t="shared" si="0"/>
        <v>0</v>
      </c>
      <c r="R5" s="26">
        <f aca="true" t="shared" si="1" ref="R5:S7">F5-P5</f>
        <v>88704</v>
      </c>
      <c r="S5" s="26">
        <f t="shared" si="1"/>
        <v>3168</v>
      </c>
      <c r="T5" s="26">
        <f>E5-P5</f>
        <v>89000</v>
      </c>
    </row>
    <row r="6" spans="2:20" ht="14.25">
      <c r="B6" s="80"/>
      <c r="C6" s="71" t="s">
        <v>137</v>
      </c>
      <c r="D6" s="18" t="s">
        <v>106</v>
      </c>
      <c r="E6" s="27">
        <v>110000</v>
      </c>
      <c r="F6" s="27">
        <v>110376</v>
      </c>
      <c r="G6" s="27">
        <v>3942</v>
      </c>
      <c r="H6" s="23"/>
      <c r="I6" s="7"/>
      <c r="J6" s="7"/>
      <c r="K6" s="7"/>
      <c r="L6" s="7"/>
      <c r="M6" s="7"/>
      <c r="N6" s="7"/>
      <c r="O6" s="11"/>
      <c r="P6" s="26">
        <f t="shared" si="0"/>
        <v>0</v>
      </c>
      <c r="Q6" s="26">
        <f t="shared" si="0"/>
        <v>0</v>
      </c>
      <c r="R6" s="26">
        <f t="shared" si="1"/>
        <v>110376</v>
      </c>
      <c r="S6" s="26">
        <f t="shared" si="1"/>
        <v>3942</v>
      </c>
      <c r="T6" s="26">
        <f>E6-P6</f>
        <v>110000</v>
      </c>
    </row>
    <row r="7" spans="2:20" ht="14.25">
      <c r="B7" s="80"/>
      <c r="C7" s="71" t="s">
        <v>138</v>
      </c>
      <c r="D7" s="18" t="s">
        <v>107</v>
      </c>
      <c r="E7" s="27">
        <v>224000</v>
      </c>
      <c r="F7" s="27">
        <v>224168</v>
      </c>
      <c r="G7" s="27">
        <v>8006</v>
      </c>
      <c r="H7" s="23"/>
      <c r="I7" s="7"/>
      <c r="J7" s="7"/>
      <c r="K7" s="7"/>
      <c r="L7" s="7"/>
      <c r="M7" s="7"/>
      <c r="N7" s="7"/>
      <c r="O7" s="11"/>
      <c r="P7" s="26">
        <f t="shared" si="0"/>
        <v>0</v>
      </c>
      <c r="Q7" s="26">
        <f t="shared" si="0"/>
        <v>0</v>
      </c>
      <c r="R7" s="26">
        <f t="shared" si="1"/>
        <v>224168</v>
      </c>
      <c r="S7" s="26">
        <f t="shared" si="1"/>
        <v>8006</v>
      </c>
      <c r="T7" s="26">
        <f>E7-P7</f>
        <v>224000</v>
      </c>
    </row>
    <row r="8" spans="2:20" ht="14.25">
      <c r="B8" s="80"/>
      <c r="C8" s="71" t="s">
        <v>139</v>
      </c>
      <c r="D8" s="18" t="s">
        <v>108</v>
      </c>
      <c r="E8" s="27">
        <v>79000</v>
      </c>
      <c r="F8" s="27">
        <v>78400</v>
      </c>
      <c r="G8" s="27">
        <v>2800</v>
      </c>
      <c r="H8" s="23"/>
      <c r="I8" s="7"/>
      <c r="J8" s="7"/>
      <c r="K8" s="7"/>
      <c r="L8" s="7"/>
      <c r="M8" s="7"/>
      <c r="N8" s="7"/>
      <c r="O8" s="11"/>
      <c r="P8" s="27">
        <v>0</v>
      </c>
      <c r="Q8" s="27">
        <v>0</v>
      </c>
      <c r="R8" s="27">
        <v>78400</v>
      </c>
      <c r="S8" s="27">
        <v>2800</v>
      </c>
      <c r="T8" s="26">
        <f>E8-P8</f>
        <v>79000</v>
      </c>
    </row>
    <row r="9" spans="2:20" ht="14.25">
      <c r="B9" s="80"/>
      <c r="C9" s="71" t="s">
        <v>140</v>
      </c>
      <c r="D9" s="18"/>
      <c r="E9" s="27"/>
      <c r="F9" s="27"/>
      <c r="G9" s="27"/>
      <c r="H9" s="23"/>
      <c r="I9" s="7"/>
      <c r="J9" s="7"/>
      <c r="K9" s="7"/>
      <c r="L9" s="7"/>
      <c r="M9" s="7"/>
      <c r="N9" s="7"/>
      <c r="O9" s="11"/>
      <c r="P9" s="27"/>
      <c r="Q9" s="27"/>
      <c r="R9" s="27"/>
      <c r="S9" s="27"/>
      <c r="T9" s="26"/>
    </row>
    <row r="10" spans="2:20" ht="14.25">
      <c r="B10" s="80"/>
      <c r="C10" s="71" t="s">
        <v>141</v>
      </c>
      <c r="D10" s="18"/>
      <c r="E10" s="27"/>
      <c r="F10" s="27"/>
      <c r="G10" s="27"/>
      <c r="H10" s="23"/>
      <c r="I10" s="7"/>
      <c r="J10" s="7"/>
      <c r="K10" s="7"/>
      <c r="L10" s="7"/>
      <c r="M10" s="7"/>
      <c r="N10" s="7"/>
      <c r="O10" s="11"/>
      <c r="P10" s="27"/>
      <c r="Q10" s="27"/>
      <c r="R10" s="27"/>
      <c r="S10" s="27"/>
      <c r="T10" s="26"/>
    </row>
    <row r="11" spans="2:20" ht="15" thickBot="1">
      <c r="B11" s="80"/>
      <c r="C11" s="72" t="s">
        <v>142</v>
      </c>
      <c r="D11" s="19"/>
      <c r="E11" s="28"/>
      <c r="F11" s="27"/>
      <c r="G11" s="28"/>
      <c r="H11" s="24"/>
      <c r="I11" s="8"/>
      <c r="J11" s="8"/>
      <c r="K11" s="8"/>
      <c r="L11" s="8"/>
      <c r="M11" s="8"/>
      <c r="N11" s="8"/>
      <c r="O11" s="12"/>
      <c r="P11" s="28"/>
      <c r="Q11" s="28"/>
      <c r="R11" s="28"/>
      <c r="S11" s="28"/>
      <c r="T11" s="26"/>
    </row>
    <row r="12" spans="2:20" ht="15" thickBot="1">
      <c r="B12" s="81"/>
      <c r="C12" s="16" t="s">
        <v>5</v>
      </c>
      <c r="D12" s="20"/>
      <c r="E12" s="29">
        <f>SUM(E5:E11)</f>
        <v>502000</v>
      </c>
      <c r="F12" s="29">
        <f aca="true" t="shared" si="2" ref="F12:S12">SUM(F5:F11)</f>
        <v>501648</v>
      </c>
      <c r="G12" s="29">
        <f t="shared" si="2"/>
        <v>17916</v>
      </c>
      <c r="H12" s="25">
        <f t="shared" si="2"/>
        <v>0</v>
      </c>
      <c r="I12" s="9">
        <f t="shared" si="2"/>
        <v>0</v>
      </c>
      <c r="J12" s="9">
        <f t="shared" si="2"/>
        <v>0</v>
      </c>
      <c r="K12" s="9">
        <f t="shared" si="2"/>
        <v>0</v>
      </c>
      <c r="L12" s="9">
        <f t="shared" si="2"/>
        <v>0</v>
      </c>
      <c r="M12" s="9">
        <f t="shared" si="2"/>
        <v>0</v>
      </c>
      <c r="N12" s="9">
        <f t="shared" si="2"/>
        <v>0</v>
      </c>
      <c r="O12" s="9">
        <f t="shared" si="2"/>
        <v>0</v>
      </c>
      <c r="P12" s="29">
        <f t="shared" si="2"/>
        <v>0</v>
      </c>
      <c r="Q12" s="29">
        <f t="shared" si="2"/>
        <v>0</v>
      </c>
      <c r="R12" s="29">
        <f t="shared" si="2"/>
        <v>501648</v>
      </c>
      <c r="S12" s="29">
        <f t="shared" si="2"/>
        <v>17916</v>
      </c>
      <c r="T12" s="29">
        <f>SUM(T5:T11)</f>
        <v>502000</v>
      </c>
    </row>
    <row r="13" spans="2:20" ht="7.5" customHeight="1">
      <c r="B13" s="79" t="s">
        <v>9</v>
      </c>
      <c r="C13" s="39"/>
      <c r="D13" s="17"/>
      <c r="E13" s="26"/>
      <c r="F13" s="26"/>
      <c r="G13" s="26"/>
      <c r="H13" s="22"/>
      <c r="I13" s="6"/>
      <c r="J13" s="6"/>
      <c r="K13" s="6"/>
      <c r="L13" s="6"/>
      <c r="M13" s="6"/>
      <c r="N13" s="6"/>
      <c r="O13" s="10"/>
      <c r="P13" s="26"/>
      <c r="Q13" s="26"/>
      <c r="R13" s="26"/>
      <c r="S13" s="26"/>
      <c r="T13" s="26"/>
    </row>
    <row r="14" spans="2:20" ht="7.5" customHeight="1">
      <c r="B14" s="80"/>
      <c r="C14" s="39"/>
      <c r="D14" s="18"/>
      <c r="E14" s="27"/>
      <c r="F14" s="26"/>
      <c r="G14" s="27"/>
      <c r="H14" s="23"/>
      <c r="I14" s="7"/>
      <c r="J14" s="7"/>
      <c r="K14" s="7"/>
      <c r="L14" s="7"/>
      <c r="M14" s="7"/>
      <c r="N14" s="7"/>
      <c r="O14" s="11"/>
      <c r="P14" s="26"/>
      <c r="Q14" s="26"/>
      <c r="R14" s="26"/>
      <c r="S14" s="26"/>
      <c r="T14" s="26"/>
    </row>
    <row r="15" spans="2:20" ht="7.5" customHeight="1">
      <c r="B15" s="80"/>
      <c r="C15" s="39"/>
      <c r="D15" s="18"/>
      <c r="E15" s="27"/>
      <c r="F15" s="27"/>
      <c r="G15" s="27"/>
      <c r="H15" s="23"/>
      <c r="I15" s="7"/>
      <c r="J15" s="7"/>
      <c r="K15" s="7"/>
      <c r="L15" s="7"/>
      <c r="M15" s="7"/>
      <c r="N15" s="7"/>
      <c r="O15" s="11"/>
      <c r="P15" s="26"/>
      <c r="Q15" s="26"/>
      <c r="R15" s="26"/>
      <c r="S15" s="26"/>
      <c r="T15" s="26"/>
    </row>
    <row r="16" spans="2:20" ht="7.5" customHeight="1">
      <c r="B16" s="80"/>
      <c r="C16" s="3"/>
      <c r="D16" s="18"/>
      <c r="E16" s="27"/>
      <c r="F16" s="27"/>
      <c r="G16" s="27"/>
      <c r="H16" s="23"/>
      <c r="I16" s="7"/>
      <c r="J16" s="7"/>
      <c r="K16" s="7"/>
      <c r="L16" s="7"/>
      <c r="M16" s="7"/>
      <c r="N16" s="7"/>
      <c r="O16" s="11"/>
      <c r="P16" s="26"/>
      <c r="Q16" s="26"/>
      <c r="R16" s="26"/>
      <c r="S16" s="26"/>
      <c r="T16" s="26"/>
    </row>
    <row r="17" spans="2:20" ht="7.5" customHeight="1">
      <c r="B17" s="80"/>
      <c r="C17" s="3"/>
      <c r="D17" s="18"/>
      <c r="E17" s="27"/>
      <c r="F17" s="27"/>
      <c r="G17" s="27"/>
      <c r="H17" s="23"/>
      <c r="I17" s="7"/>
      <c r="J17" s="7"/>
      <c r="K17" s="7"/>
      <c r="L17" s="7"/>
      <c r="M17" s="7"/>
      <c r="N17" s="7"/>
      <c r="O17" s="11"/>
      <c r="P17" s="26"/>
      <c r="Q17" s="26"/>
      <c r="R17" s="26"/>
      <c r="S17" s="26"/>
      <c r="T17" s="26"/>
    </row>
    <row r="18" spans="2:20" ht="7.5" customHeight="1">
      <c r="B18" s="80"/>
      <c r="C18" s="3"/>
      <c r="D18" s="18"/>
      <c r="E18" s="27"/>
      <c r="F18" s="27"/>
      <c r="G18" s="27"/>
      <c r="H18" s="23"/>
      <c r="I18" s="7"/>
      <c r="J18" s="7"/>
      <c r="K18" s="7"/>
      <c r="L18" s="7"/>
      <c r="M18" s="7"/>
      <c r="N18" s="7"/>
      <c r="O18" s="11"/>
      <c r="P18" s="26"/>
      <c r="Q18" s="26"/>
      <c r="R18" s="26"/>
      <c r="S18" s="26"/>
      <c r="T18" s="26"/>
    </row>
    <row r="19" spans="2:20" ht="7.5" customHeight="1" thickBot="1">
      <c r="B19" s="80"/>
      <c r="C19" s="4"/>
      <c r="D19" s="19"/>
      <c r="E19" s="28"/>
      <c r="F19" s="28"/>
      <c r="G19" s="28"/>
      <c r="H19" s="24"/>
      <c r="I19" s="8"/>
      <c r="J19" s="8"/>
      <c r="K19" s="8"/>
      <c r="L19" s="8"/>
      <c r="M19" s="8"/>
      <c r="N19" s="8"/>
      <c r="O19" s="12"/>
      <c r="P19" s="28"/>
      <c r="Q19" s="28"/>
      <c r="R19" s="28"/>
      <c r="S19" s="28"/>
      <c r="T19" s="26"/>
    </row>
    <row r="20" spans="2:20" ht="15" thickBot="1">
      <c r="B20" s="81"/>
      <c r="C20" s="16" t="s">
        <v>5</v>
      </c>
      <c r="D20" s="20"/>
      <c r="E20" s="29">
        <f>SUM(E13:E19)</f>
        <v>0</v>
      </c>
      <c r="F20" s="29">
        <f aca="true" t="shared" si="3" ref="F20:T20">SUM(F13:F19)</f>
        <v>0</v>
      </c>
      <c r="G20" s="29">
        <f t="shared" si="3"/>
        <v>0</v>
      </c>
      <c r="H20" s="25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0</v>
      </c>
      <c r="N20" s="9">
        <f t="shared" si="3"/>
        <v>0</v>
      </c>
      <c r="O20" s="9">
        <f t="shared" si="3"/>
        <v>0</v>
      </c>
      <c r="P20" s="29">
        <f t="shared" si="3"/>
        <v>0</v>
      </c>
      <c r="Q20" s="29">
        <f t="shared" si="3"/>
        <v>0</v>
      </c>
      <c r="R20" s="29">
        <f t="shared" si="3"/>
        <v>0</v>
      </c>
      <c r="S20" s="29">
        <f t="shared" si="3"/>
        <v>0</v>
      </c>
      <c r="T20" s="29">
        <f t="shared" si="3"/>
        <v>0</v>
      </c>
    </row>
    <row r="21" spans="2:20" ht="14.25">
      <c r="B21" s="79" t="s">
        <v>15</v>
      </c>
      <c r="C21" s="39" t="s">
        <v>150</v>
      </c>
      <c r="D21" s="17" t="s">
        <v>109</v>
      </c>
      <c r="E21" s="26">
        <v>84000</v>
      </c>
      <c r="F21" s="26">
        <v>84000</v>
      </c>
      <c r="G21" s="26">
        <v>3000</v>
      </c>
      <c r="H21" s="22"/>
      <c r="I21" s="6"/>
      <c r="J21" s="6"/>
      <c r="K21" s="6"/>
      <c r="L21" s="6"/>
      <c r="M21" s="6"/>
      <c r="N21" s="6"/>
      <c r="O21" s="10"/>
      <c r="P21" s="26">
        <f aca="true" t="shared" si="4" ref="P21:Q23">H21+J21+L21+N21</f>
        <v>0</v>
      </c>
      <c r="Q21" s="26">
        <f t="shared" si="4"/>
        <v>0</v>
      </c>
      <c r="R21" s="26">
        <f aca="true" t="shared" si="5" ref="R21:S23">F21-P21</f>
        <v>84000</v>
      </c>
      <c r="S21" s="26">
        <f t="shared" si="5"/>
        <v>3000</v>
      </c>
      <c r="T21" s="26">
        <f>E21-P21</f>
        <v>84000</v>
      </c>
    </row>
    <row r="22" spans="2:20" ht="14.25">
      <c r="B22" s="80"/>
      <c r="C22" s="71" t="s">
        <v>151</v>
      </c>
      <c r="D22" s="18" t="s">
        <v>110</v>
      </c>
      <c r="E22" s="27">
        <v>42000</v>
      </c>
      <c r="F22" s="27">
        <v>42000</v>
      </c>
      <c r="G22" s="27">
        <v>1500</v>
      </c>
      <c r="H22" s="23"/>
      <c r="I22" s="7"/>
      <c r="J22" s="7"/>
      <c r="K22" s="7"/>
      <c r="L22" s="7"/>
      <c r="M22" s="7"/>
      <c r="N22" s="7"/>
      <c r="O22" s="11"/>
      <c r="P22" s="26">
        <f t="shared" si="4"/>
        <v>0</v>
      </c>
      <c r="Q22" s="26">
        <f t="shared" si="4"/>
        <v>0</v>
      </c>
      <c r="R22" s="26">
        <f t="shared" si="5"/>
        <v>42000</v>
      </c>
      <c r="S22" s="26">
        <f t="shared" si="5"/>
        <v>1500</v>
      </c>
      <c r="T22" s="26">
        <f>E22-P22</f>
        <v>42000</v>
      </c>
    </row>
    <row r="23" spans="2:20" ht="14.25">
      <c r="B23" s="80"/>
      <c r="C23" s="71" t="s">
        <v>152</v>
      </c>
      <c r="D23" s="18" t="s">
        <v>111</v>
      </c>
      <c r="E23" s="27">
        <v>54000</v>
      </c>
      <c r="F23" s="27">
        <v>54040</v>
      </c>
      <c r="G23" s="27">
        <v>1930</v>
      </c>
      <c r="H23" s="23"/>
      <c r="I23" s="7"/>
      <c r="J23" s="7"/>
      <c r="K23" s="7"/>
      <c r="L23" s="7"/>
      <c r="M23" s="7"/>
      <c r="N23" s="7"/>
      <c r="O23" s="11"/>
      <c r="P23" s="26">
        <f t="shared" si="4"/>
        <v>0</v>
      </c>
      <c r="Q23" s="26">
        <f t="shared" si="4"/>
        <v>0</v>
      </c>
      <c r="R23" s="26">
        <f t="shared" si="5"/>
        <v>54040</v>
      </c>
      <c r="S23" s="26">
        <f t="shared" si="5"/>
        <v>1930</v>
      </c>
      <c r="T23" s="26">
        <f>E23-P23</f>
        <v>54000</v>
      </c>
    </row>
    <row r="24" spans="2:20" ht="14.25">
      <c r="B24" s="80"/>
      <c r="C24" s="71" t="s">
        <v>153</v>
      </c>
      <c r="D24" s="18" t="s">
        <v>109</v>
      </c>
      <c r="E24" s="27">
        <v>56000</v>
      </c>
      <c r="F24" s="27">
        <v>56000</v>
      </c>
      <c r="G24" s="27">
        <v>2000</v>
      </c>
      <c r="H24" s="23"/>
      <c r="I24" s="7"/>
      <c r="J24" s="7"/>
      <c r="K24" s="7"/>
      <c r="L24" s="7"/>
      <c r="M24" s="7"/>
      <c r="N24" s="7"/>
      <c r="O24" s="11"/>
      <c r="P24" s="26">
        <f>H24+J24+L24+N24</f>
        <v>0</v>
      </c>
      <c r="Q24" s="26">
        <f>I24+K24+M24+O24</f>
        <v>0</v>
      </c>
      <c r="R24" s="27">
        <v>56000</v>
      </c>
      <c r="S24" s="27">
        <v>2000</v>
      </c>
      <c r="T24" s="26">
        <f>E24-P24</f>
        <v>56000</v>
      </c>
    </row>
    <row r="25" spans="2:20" ht="14.25">
      <c r="B25" s="80"/>
      <c r="C25" s="71" t="s">
        <v>154</v>
      </c>
      <c r="D25" s="18"/>
      <c r="E25" s="27"/>
      <c r="F25" s="27"/>
      <c r="G25" s="27"/>
      <c r="H25" s="23"/>
      <c r="I25" s="7"/>
      <c r="J25" s="7"/>
      <c r="K25" s="7"/>
      <c r="L25" s="7"/>
      <c r="M25" s="7"/>
      <c r="N25" s="7"/>
      <c r="O25" s="11"/>
      <c r="P25" s="26"/>
      <c r="Q25" s="26"/>
      <c r="R25" s="27"/>
      <c r="S25" s="27"/>
      <c r="T25" s="26"/>
    </row>
    <row r="26" spans="2:20" ht="14.25">
      <c r="B26" s="80"/>
      <c r="C26" s="71" t="s">
        <v>155</v>
      </c>
      <c r="D26" s="18"/>
      <c r="E26" s="27"/>
      <c r="F26" s="27"/>
      <c r="G26" s="27"/>
      <c r="H26" s="23"/>
      <c r="I26" s="7"/>
      <c r="J26" s="7"/>
      <c r="K26" s="7"/>
      <c r="L26" s="7"/>
      <c r="M26" s="7"/>
      <c r="N26" s="7"/>
      <c r="O26" s="11"/>
      <c r="P26" s="27"/>
      <c r="Q26" s="27"/>
      <c r="R26" s="27"/>
      <c r="S26" s="27"/>
      <c r="T26" s="26"/>
    </row>
    <row r="27" spans="2:20" ht="15" thickBot="1">
      <c r="B27" s="80"/>
      <c r="C27" s="72" t="s">
        <v>156</v>
      </c>
      <c r="D27" s="19"/>
      <c r="E27" s="28"/>
      <c r="F27" s="28"/>
      <c r="G27" s="28"/>
      <c r="H27" s="24"/>
      <c r="I27" s="8"/>
      <c r="J27" s="8"/>
      <c r="K27" s="8"/>
      <c r="L27" s="8"/>
      <c r="M27" s="8"/>
      <c r="N27" s="8"/>
      <c r="O27" s="12"/>
      <c r="P27" s="28"/>
      <c r="Q27" s="28"/>
      <c r="R27" s="28"/>
      <c r="S27" s="28"/>
      <c r="T27" s="26"/>
    </row>
    <row r="28" spans="2:20" ht="15" thickBot="1">
      <c r="B28" s="81"/>
      <c r="C28" s="16" t="s">
        <v>5</v>
      </c>
      <c r="D28" s="20"/>
      <c r="E28" s="29">
        <f>SUM(E21:E27)</f>
        <v>236000</v>
      </c>
      <c r="F28" s="29">
        <f aca="true" t="shared" si="6" ref="F28:T28">SUM(F21:F27)</f>
        <v>236040</v>
      </c>
      <c r="G28" s="29">
        <f t="shared" si="6"/>
        <v>8430</v>
      </c>
      <c r="H28" s="25">
        <f t="shared" si="6"/>
        <v>0</v>
      </c>
      <c r="I28" s="9">
        <f t="shared" si="6"/>
        <v>0</v>
      </c>
      <c r="J28" s="9">
        <f t="shared" si="6"/>
        <v>0</v>
      </c>
      <c r="K28" s="9">
        <f t="shared" si="6"/>
        <v>0</v>
      </c>
      <c r="L28" s="9">
        <f t="shared" si="6"/>
        <v>0</v>
      </c>
      <c r="M28" s="9">
        <f t="shared" si="6"/>
        <v>0</v>
      </c>
      <c r="N28" s="9">
        <f t="shared" si="6"/>
        <v>0</v>
      </c>
      <c r="O28" s="9">
        <f t="shared" si="6"/>
        <v>0</v>
      </c>
      <c r="P28" s="29">
        <f t="shared" si="6"/>
        <v>0</v>
      </c>
      <c r="Q28" s="29">
        <f t="shared" si="6"/>
        <v>0</v>
      </c>
      <c r="R28" s="29">
        <f t="shared" si="6"/>
        <v>236040</v>
      </c>
      <c r="S28" s="29">
        <f t="shared" si="6"/>
        <v>8430</v>
      </c>
      <c r="T28" s="29">
        <f t="shared" si="6"/>
        <v>236000</v>
      </c>
    </row>
    <row r="29" spans="2:20" ht="14.25">
      <c r="B29" s="79" t="s">
        <v>16</v>
      </c>
      <c r="C29" s="39" t="s">
        <v>45</v>
      </c>
      <c r="D29" s="17" t="s">
        <v>112</v>
      </c>
      <c r="E29" s="26">
        <v>174000</v>
      </c>
      <c r="F29" s="26">
        <v>173936</v>
      </c>
      <c r="G29" s="26">
        <v>6212</v>
      </c>
      <c r="H29" s="22"/>
      <c r="I29" s="6"/>
      <c r="J29" s="6"/>
      <c r="K29" s="6"/>
      <c r="L29" s="6"/>
      <c r="M29" s="6"/>
      <c r="N29" s="6"/>
      <c r="O29" s="10"/>
      <c r="P29" s="26">
        <f aca="true" t="shared" si="7" ref="P29:Q35">H29+J29+L29+N29</f>
        <v>0</v>
      </c>
      <c r="Q29" s="26">
        <f t="shared" si="7"/>
        <v>0</v>
      </c>
      <c r="R29" s="26">
        <f aca="true" t="shared" si="8" ref="R29:S31">F29-P29</f>
        <v>173936</v>
      </c>
      <c r="S29" s="26">
        <f t="shared" si="8"/>
        <v>6212</v>
      </c>
      <c r="T29" s="26">
        <f>E29-P29</f>
        <v>174000</v>
      </c>
    </row>
    <row r="30" spans="2:20" ht="14.25">
      <c r="B30" s="80"/>
      <c r="C30" s="39" t="s">
        <v>113</v>
      </c>
      <c r="D30" s="17" t="s">
        <v>114</v>
      </c>
      <c r="E30" s="27">
        <v>30000</v>
      </c>
      <c r="F30" s="27">
        <v>30240</v>
      </c>
      <c r="G30" s="26">
        <v>1080</v>
      </c>
      <c r="H30" s="23"/>
      <c r="I30" s="7"/>
      <c r="J30" s="7"/>
      <c r="K30" s="7"/>
      <c r="L30" s="7"/>
      <c r="M30" s="7"/>
      <c r="N30" s="7"/>
      <c r="O30" s="11"/>
      <c r="P30" s="26">
        <f t="shared" si="7"/>
        <v>0</v>
      </c>
      <c r="Q30" s="26">
        <f t="shared" si="7"/>
        <v>0</v>
      </c>
      <c r="R30" s="26">
        <f t="shared" si="8"/>
        <v>30240</v>
      </c>
      <c r="S30" s="26">
        <f t="shared" si="8"/>
        <v>1080</v>
      </c>
      <c r="T30" s="26">
        <f aca="true" t="shared" si="9" ref="T30:T35">E30-P30</f>
        <v>30000</v>
      </c>
    </row>
    <row r="31" spans="2:20" ht="14.25">
      <c r="B31" s="80"/>
      <c r="C31" s="39" t="s">
        <v>115</v>
      </c>
      <c r="D31" s="18" t="s">
        <v>116</v>
      </c>
      <c r="E31" s="27">
        <v>17000</v>
      </c>
      <c r="F31" s="27">
        <v>16688</v>
      </c>
      <c r="G31" s="27">
        <v>596</v>
      </c>
      <c r="H31" s="23"/>
      <c r="I31" s="7"/>
      <c r="J31" s="7"/>
      <c r="K31" s="7"/>
      <c r="L31" s="7"/>
      <c r="M31" s="7"/>
      <c r="N31" s="7"/>
      <c r="O31" s="11"/>
      <c r="P31" s="26">
        <f t="shared" si="7"/>
        <v>0</v>
      </c>
      <c r="Q31" s="26">
        <f t="shared" si="7"/>
        <v>0</v>
      </c>
      <c r="R31" s="26">
        <f t="shared" si="8"/>
        <v>16688</v>
      </c>
      <c r="S31" s="26">
        <f t="shared" si="8"/>
        <v>596</v>
      </c>
      <c r="T31" s="26">
        <f t="shared" si="9"/>
        <v>17000</v>
      </c>
    </row>
    <row r="32" spans="2:20" ht="14.25">
      <c r="B32" s="80"/>
      <c r="C32" s="39" t="s">
        <v>46</v>
      </c>
      <c r="D32" s="18" t="s">
        <v>117</v>
      </c>
      <c r="E32" s="27">
        <v>71000</v>
      </c>
      <c r="F32" s="27">
        <v>70560</v>
      </c>
      <c r="G32" s="27">
        <v>2520</v>
      </c>
      <c r="H32" s="23"/>
      <c r="I32" s="7"/>
      <c r="J32" s="7"/>
      <c r="K32" s="7"/>
      <c r="L32" s="7"/>
      <c r="M32" s="7"/>
      <c r="N32" s="7"/>
      <c r="O32" s="11"/>
      <c r="P32" s="26">
        <f t="shared" si="7"/>
        <v>0</v>
      </c>
      <c r="Q32" s="26">
        <f t="shared" si="7"/>
        <v>0</v>
      </c>
      <c r="R32" s="26">
        <v>70560</v>
      </c>
      <c r="S32" s="26">
        <f>G32-Q32</f>
        <v>2520</v>
      </c>
      <c r="T32" s="26">
        <f t="shared" si="9"/>
        <v>71000</v>
      </c>
    </row>
    <row r="33" spans="2:20" ht="14.25">
      <c r="B33" s="80"/>
      <c r="C33" s="39" t="s">
        <v>47</v>
      </c>
      <c r="D33" s="18" t="s">
        <v>118</v>
      </c>
      <c r="E33" s="27">
        <v>35000</v>
      </c>
      <c r="F33" s="27">
        <v>35280</v>
      </c>
      <c r="G33" s="27">
        <v>1260</v>
      </c>
      <c r="H33" s="23"/>
      <c r="I33" s="7"/>
      <c r="J33" s="7"/>
      <c r="K33" s="7"/>
      <c r="L33" s="7"/>
      <c r="M33" s="7"/>
      <c r="N33" s="7"/>
      <c r="O33" s="11"/>
      <c r="P33" s="26">
        <f t="shared" si="7"/>
        <v>0</v>
      </c>
      <c r="Q33" s="26">
        <f t="shared" si="7"/>
        <v>0</v>
      </c>
      <c r="R33" s="26">
        <v>35280</v>
      </c>
      <c r="S33" s="26">
        <f>G33-Q33</f>
        <v>1260</v>
      </c>
      <c r="T33" s="26">
        <f t="shared" si="9"/>
        <v>35000</v>
      </c>
    </row>
    <row r="34" spans="2:20" ht="14.25">
      <c r="B34" s="80"/>
      <c r="C34" s="39" t="s">
        <v>48</v>
      </c>
      <c r="D34" s="18" t="s">
        <v>119</v>
      </c>
      <c r="E34" s="27">
        <v>141000</v>
      </c>
      <c r="F34" s="27">
        <v>141120</v>
      </c>
      <c r="G34" s="27">
        <v>5040</v>
      </c>
      <c r="H34" s="23"/>
      <c r="I34" s="7"/>
      <c r="J34" s="7"/>
      <c r="K34" s="7"/>
      <c r="L34" s="7"/>
      <c r="M34" s="7"/>
      <c r="N34" s="7"/>
      <c r="O34" s="11"/>
      <c r="P34" s="26">
        <f t="shared" si="7"/>
        <v>0</v>
      </c>
      <c r="Q34" s="26">
        <f t="shared" si="7"/>
        <v>0</v>
      </c>
      <c r="R34" s="26">
        <v>141120</v>
      </c>
      <c r="S34" s="27">
        <v>5040</v>
      </c>
      <c r="T34" s="26">
        <f t="shared" si="9"/>
        <v>141000</v>
      </c>
    </row>
    <row r="35" spans="2:20" ht="15" thickBot="1">
      <c r="B35" s="80"/>
      <c r="C35" s="39" t="s">
        <v>67</v>
      </c>
      <c r="D35" s="19" t="s">
        <v>120</v>
      </c>
      <c r="E35" s="28">
        <v>28000</v>
      </c>
      <c r="F35" s="28">
        <v>28280</v>
      </c>
      <c r="G35" s="28">
        <v>1010</v>
      </c>
      <c r="H35" s="24"/>
      <c r="I35" s="8"/>
      <c r="J35" s="8"/>
      <c r="K35" s="8"/>
      <c r="L35" s="8"/>
      <c r="M35" s="8"/>
      <c r="N35" s="8"/>
      <c r="O35" s="12"/>
      <c r="P35" s="26">
        <f t="shared" si="7"/>
        <v>0</v>
      </c>
      <c r="Q35" s="26">
        <f t="shared" si="7"/>
        <v>0</v>
      </c>
      <c r="R35" s="26">
        <v>28280</v>
      </c>
      <c r="S35" s="28">
        <v>1010</v>
      </c>
      <c r="T35" s="26">
        <f t="shared" si="9"/>
        <v>28000</v>
      </c>
    </row>
    <row r="36" spans="2:20" ht="15" thickBot="1">
      <c r="B36" s="81"/>
      <c r="C36" s="16" t="s">
        <v>5</v>
      </c>
      <c r="D36" s="20"/>
      <c r="E36" s="29">
        <f>SUM(E29:E35)</f>
        <v>496000</v>
      </c>
      <c r="F36" s="29">
        <f aca="true" t="shared" si="10" ref="F36:T36">SUM(F29:F35)</f>
        <v>496104</v>
      </c>
      <c r="G36" s="29">
        <f t="shared" si="10"/>
        <v>17718</v>
      </c>
      <c r="H36" s="25">
        <f t="shared" si="10"/>
        <v>0</v>
      </c>
      <c r="I36" s="9">
        <f t="shared" si="10"/>
        <v>0</v>
      </c>
      <c r="J36" s="9">
        <f t="shared" si="10"/>
        <v>0</v>
      </c>
      <c r="K36" s="9">
        <f t="shared" si="10"/>
        <v>0</v>
      </c>
      <c r="L36" s="9">
        <f t="shared" si="10"/>
        <v>0</v>
      </c>
      <c r="M36" s="9">
        <f t="shared" si="10"/>
        <v>0</v>
      </c>
      <c r="N36" s="9">
        <f t="shared" si="10"/>
        <v>0</v>
      </c>
      <c r="O36" s="9">
        <f t="shared" si="10"/>
        <v>0</v>
      </c>
      <c r="P36" s="29">
        <f t="shared" si="10"/>
        <v>0</v>
      </c>
      <c r="Q36" s="29">
        <f t="shared" si="10"/>
        <v>0</v>
      </c>
      <c r="R36" s="29">
        <f t="shared" si="10"/>
        <v>496104</v>
      </c>
      <c r="S36" s="29">
        <f t="shared" si="10"/>
        <v>17718</v>
      </c>
      <c r="T36" s="29">
        <f>SUM(T29:T35)</f>
        <v>496000</v>
      </c>
    </row>
    <row r="37" spans="2:20" ht="14.25">
      <c r="B37" s="79" t="s">
        <v>17</v>
      </c>
      <c r="C37" s="2" t="s">
        <v>103</v>
      </c>
      <c r="D37" s="17" t="s">
        <v>121</v>
      </c>
      <c r="E37" s="26">
        <v>1937000</v>
      </c>
      <c r="F37" s="26">
        <v>1936200</v>
      </c>
      <c r="G37" s="26">
        <v>69150</v>
      </c>
      <c r="H37" s="22"/>
      <c r="I37" s="6"/>
      <c r="J37" s="6"/>
      <c r="K37" s="6"/>
      <c r="L37" s="6"/>
      <c r="M37" s="6"/>
      <c r="N37" s="6"/>
      <c r="O37" s="10"/>
      <c r="P37" s="26">
        <f aca="true" t="shared" si="11" ref="P37:Q39">H37+J37+L37+N37</f>
        <v>0</v>
      </c>
      <c r="Q37" s="26">
        <f t="shared" si="11"/>
        <v>0</v>
      </c>
      <c r="R37" s="26">
        <f>F37-P37</f>
        <v>1936200</v>
      </c>
      <c r="S37" s="26">
        <f>G37-Q37</f>
        <v>69150</v>
      </c>
      <c r="T37" s="26">
        <f>E37-P37</f>
        <v>1937000</v>
      </c>
    </row>
    <row r="38" spans="2:20" ht="14.25">
      <c r="B38" s="80"/>
      <c r="C38" s="2" t="s">
        <v>104</v>
      </c>
      <c r="D38" s="17" t="s">
        <v>122</v>
      </c>
      <c r="E38" s="27">
        <v>2328000</v>
      </c>
      <c r="F38" s="56">
        <v>2328200</v>
      </c>
      <c r="G38" s="27">
        <v>83150</v>
      </c>
      <c r="H38" s="23"/>
      <c r="I38" s="7"/>
      <c r="J38" s="7"/>
      <c r="K38" s="7"/>
      <c r="L38" s="7"/>
      <c r="M38" s="7"/>
      <c r="N38" s="7"/>
      <c r="O38" s="11"/>
      <c r="P38" s="26">
        <f t="shared" si="11"/>
        <v>0</v>
      </c>
      <c r="Q38" s="26">
        <f t="shared" si="11"/>
        <v>0</v>
      </c>
      <c r="R38" s="56">
        <v>2328200</v>
      </c>
      <c r="S38" s="27">
        <v>83150</v>
      </c>
      <c r="T38" s="26">
        <f>E38-P38</f>
        <v>2328000</v>
      </c>
    </row>
    <row r="39" spans="2:20" ht="14.25">
      <c r="B39" s="80"/>
      <c r="C39" s="2" t="s">
        <v>123</v>
      </c>
      <c r="D39" s="17" t="s">
        <v>124</v>
      </c>
      <c r="E39" s="27">
        <v>168000</v>
      </c>
      <c r="F39" s="27">
        <v>168000</v>
      </c>
      <c r="G39" s="27">
        <v>6000</v>
      </c>
      <c r="H39" s="23"/>
      <c r="I39" s="7"/>
      <c r="J39" s="7"/>
      <c r="K39" s="7"/>
      <c r="L39" s="7"/>
      <c r="M39" s="7"/>
      <c r="N39" s="7"/>
      <c r="O39" s="11"/>
      <c r="P39" s="26">
        <f t="shared" si="11"/>
        <v>0</v>
      </c>
      <c r="Q39" s="26">
        <f t="shared" si="11"/>
        <v>0</v>
      </c>
      <c r="R39" s="27">
        <v>168000</v>
      </c>
      <c r="S39" s="27">
        <v>6000</v>
      </c>
      <c r="T39" s="26">
        <f>E39-P39</f>
        <v>168000</v>
      </c>
    </row>
    <row r="40" spans="2:20" ht="14.25">
      <c r="B40" s="80"/>
      <c r="C40" s="71"/>
      <c r="D40" s="18"/>
      <c r="E40" s="27"/>
      <c r="F40" s="27"/>
      <c r="G40" s="27"/>
      <c r="H40" s="23"/>
      <c r="I40" s="7"/>
      <c r="J40" s="7"/>
      <c r="K40" s="7"/>
      <c r="L40" s="7"/>
      <c r="M40" s="7"/>
      <c r="N40" s="7"/>
      <c r="O40" s="11"/>
      <c r="P40" s="27"/>
      <c r="Q40" s="27"/>
      <c r="R40" s="27"/>
      <c r="S40" s="27"/>
      <c r="T40" s="26"/>
    </row>
    <row r="41" spans="2:20" ht="14.25">
      <c r="B41" s="80"/>
      <c r="C41" s="71"/>
      <c r="D41" s="18"/>
      <c r="E41" s="27"/>
      <c r="F41" s="27"/>
      <c r="G41" s="27"/>
      <c r="H41" s="23"/>
      <c r="I41" s="7"/>
      <c r="J41" s="7"/>
      <c r="K41" s="7"/>
      <c r="L41" s="7"/>
      <c r="M41" s="7"/>
      <c r="N41" s="7"/>
      <c r="O41" s="11"/>
      <c r="P41" s="27"/>
      <c r="Q41" s="27"/>
      <c r="R41" s="27"/>
      <c r="S41" s="27"/>
      <c r="T41" s="26"/>
    </row>
    <row r="42" spans="2:20" ht="14.25">
      <c r="B42" s="80"/>
      <c r="C42" s="71"/>
      <c r="D42" s="18"/>
      <c r="E42" s="27"/>
      <c r="F42" s="27"/>
      <c r="G42" s="27"/>
      <c r="H42" s="23"/>
      <c r="I42" s="7"/>
      <c r="J42" s="7"/>
      <c r="K42" s="7"/>
      <c r="L42" s="7"/>
      <c r="M42" s="7"/>
      <c r="N42" s="7"/>
      <c r="O42" s="11"/>
      <c r="P42" s="27"/>
      <c r="Q42" s="27"/>
      <c r="R42" s="27"/>
      <c r="S42" s="27"/>
      <c r="T42" s="26"/>
    </row>
    <row r="43" spans="2:20" ht="15" thickBot="1">
      <c r="B43" s="80"/>
      <c r="C43" s="72"/>
      <c r="D43" s="19"/>
      <c r="E43" s="28"/>
      <c r="F43" s="28"/>
      <c r="G43" s="28"/>
      <c r="H43" s="24"/>
      <c r="I43" s="8"/>
      <c r="J43" s="8"/>
      <c r="K43" s="8"/>
      <c r="L43" s="8"/>
      <c r="M43" s="8"/>
      <c r="N43" s="8"/>
      <c r="O43" s="12"/>
      <c r="P43" s="28"/>
      <c r="Q43" s="28"/>
      <c r="R43" s="28"/>
      <c r="S43" s="28"/>
      <c r="T43" s="26"/>
    </row>
    <row r="44" spans="2:20" ht="15" thickBot="1">
      <c r="B44" s="81"/>
      <c r="C44" s="5" t="s">
        <v>5</v>
      </c>
      <c r="D44" s="20"/>
      <c r="E44" s="31">
        <f>SUM(E37:E43)</f>
        <v>4433000</v>
      </c>
      <c r="F44" s="31">
        <f aca="true" t="shared" si="12" ref="F44:T44">SUM(F37:F43)</f>
        <v>4432400</v>
      </c>
      <c r="G44" s="31">
        <f t="shared" si="12"/>
        <v>158300</v>
      </c>
      <c r="H44" s="34">
        <f t="shared" si="12"/>
        <v>0</v>
      </c>
      <c r="I44" s="9">
        <f t="shared" si="12"/>
        <v>0</v>
      </c>
      <c r="J44" s="9">
        <f t="shared" si="12"/>
        <v>0</v>
      </c>
      <c r="K44" s="9">
        <f t="shared" si="12"/>
        <v>0</v>
      </c>
      <c r="L44" s="9">
        <f t="shared" si="12"/>
        <v>0</v>
      </c>
      <c r="M44" s="9">
        <f t="shared" si="12"/>
        <v>0</v>
      </c>
      <c r="N44" s="9">
        <f t="shared" si="12"/>
        <v>0</v>
      </c>
      <c r="O44" s="9">
        <f t="shared" si="12"/>
        <v>0</v>
      </c>
      <c r="P44" s="29">
        <f t="shared" si="12"/>
        <v>0</v>
      </c>
      <c r="Q44" s="29">
        <f t="shared" si="12"/>
        <v>0</v>
      </c>
      <c r="R44" s="29">
        <f t="shared" si="12"/>
        <v>4432400</v>
      </c>
      <c r="S44" s="29">
        <f t="shared" si="12"/>
        <v>158300</v>
      </c>
      <c r="T44" s="29">
        <f t="shared" si="12"/>
        <v>4433000</v>
      </c>
    </row>
    <row r="45" spans="2:20" ht="16.5" thickBot="1">
      <c r="B45" s="77" t="s">
        <v>18</v>
      </c>
      <c r="C45" s="78"/>
      <c r="D45" s="78"/>
      <c r="E45" s="32">
        <f>SUM(E12+E20+E28+E36+E44)</f>
        <v>5667000</v>
      </c>
      <c r="F45" s="41">
        <f aca="true" t="shared" si="13" ref="F45:S45">SUM(F12+F20+F28+F36+F44)</f>
        <v>5666192</v>
      </c>
      <c r="G45" s="41">
        <f t="shared" si="13"/>
        <v>202364</v>
      </c>
      <c r="H45" s="42">
        <f t="shared" si="13"/>
        <v>0</v>
      </c>
      <c r="I45" s="43">
        <f t="shared" si="13"/>
        <v>0</v>
      </c>
      <c r="J45" s="43">
        <f t="shared" si="13"/>
        <v>0</v>
      </c>
      <c r="K45" s="43">
        <f t="shared" si="13"/>
        <v>0</v>
      </c>
      <c r="L45" s="43">
        <f t="shared" si="13"/>
        <v>0</v>
      </c>
      <c r="M45" s="43">
        <f t="shared" si="13"/>
        <v>0</v>
      </c>
      <c r="N45" s="43">
        <f t="shared" si="13"/>
        <v>0</v>
      </c>
      <c r="O45" s="44">
        <f t="shared" si="13"/>
        <v>0</v>
      </c>
      <c r="P45" s="32">
        <f t="shared" si="13"/>
        <v>0</v>
      </c>
      <c r="Q45" s="32">
        <f t="shared" si="13"/>
        <v>0</v>
      </c>
      <c r="R45" s="32">
        <f t="shared" si="13"/>
        <v>5666192</v>
      </c>
      <c r="S45" s="32">
        <f t="shared" si="13"/>
        <v>202364</v>
      </c>
      <c r="T45" s="32">
        <f>SUM(T12+T20+T28+T36+T44)</f>
        <v>5667000</v>
      </c>
    </row>
    <row r="46" spans="2:20" s="60" customFormat="1" ht="15" thickBot="1">
      <c r="B46" s="82" t="s">
        <v>126</v>
      </c>
      <c r="C46" s="83"/>
      <c r="D46" s="84"/>
      <c r="E46" s="58">
        <f>E45*0.85</f>
        <v>4816950</v>
      </c>
      <c r="F46" s="58">
        <f aca="true" t="shared" si="14" ref="F46:K46">F45*0.85</f>
        <v>4816263.2</v>
      </c>
      <c r="G46" s="58">
        <f t="shared" si="14"/>
        <v>172009.4</v>
      </c>
      <c r="H46" s="58">
        <f t="shared" si="14"/>
        <v>0</v>
      </c>
      <c r="I46" s="59">
        <f t="shared" si="14"/>
        <v>0</v>
      </c>
      <c r="J46" s="58">
        <f t="shared" si="14"/>
        <v>0</v>
      </c>
      <c r="K46" s="59">
        <f t="shared" si="14"/>
        <v>0</v>
      </c>
      <c r="L46" s="58"/>
      <c r="M46" s="58"/>
      <c r="N46" s="58"/>
      <c r="O46" s="58"/>
      <c r="P46" s="62">
        <f aca="true" t="shared" si="15" ref="P46:Q48">H46+J46+L46+N46</f>
        <v>0</v>
      </c>
      <c r="Q46" s="62">
        <f t="shared" si="15"/>
        <v>0</v>
      </c>
      <c r="R46" s="62">
        <f aca="true" t="shared" si="16" ref="R46:S48">F46-P46</f>
        <v>4816263.2</v>
      </c>
      <c r="S46" s="62">
        <f t="shared" si="16"/>
        <v>172009.4</v>
      </c>
      <c r="T46" s="62">
        <f>E46-P46</f>
        <v>4816950</v>
      </c>
    </row>
    <row r="47" spans="2:20" s="60" customFormat="1" ht="15" thickBot="1">
      <c r="B47" s="85" t="s">
        <v>127</v>
      </c>
      <c r="C47" s="86"/>
      <c r="D47" s="87"/>
      <c r="E47" s="61">
        <f>E45*0.15</f>
        <v>850050</v>
      </c>
      <c r="F47" s="61">
        <f aca="true" t="shared" si="17" ref="F47:K47">F45*0.15</f>
        <v>849928.7999999999</v>
      </c>
      <c r="G47" s="61">
        <f t="shared" si="17"/>
        <v>30354.6</v>
      </c>
      <c r="H47" s="61">
        <f t="shared" si="17"/>
        <v>0</v>
      </c>
      <c r="I47" s="61">
        <f t="shared" si="17"/>
        <v>0</v>
      </c>
      <c r="J47" s="61">
        <f t="shared" si="17"/>
        <v>0</v>
      </c>
      <c r="K47" s="61">
        <f t="shared" si="17"/>
        <v>0</v>
      </c>
      <c r="L47" s="61"/>
      <c r="M47" s="61"/>
      <c r="N47" s="61"/>
      <c r="O47" s="61"/>
      <c r="P47" s="68">
        <f t="shared" si="15"/>
        <v>0</v>
      </c>
      <c r="Q47" s="68">
        <f t="shared" si="15"/>
        <v>0</v>
      </c>
      <c r="R47" s="68">
        <f t="shared" si="16"/>
        <v>849928.7999999999</v>
      </c>
      <c r="S47" s="68">
        <f t="shared" si="16"/>
        <v>30354.6</v>
      </c>
      <c r="T47" s="68">
        <f>E47-P47</f>
        <v>850050</v>
      </c>
    </row>
    <row r="48" spans="2:20" s="66" customFormat="1" ht="18.75" thickBot="1" thickTop="1">
      <c r="B48" s="74" t="s">
        <v>128</v>
      </c>
      <c r="C48" s="75"/>
      <c r="D48" s="76"/>
      <c r="E48" s="67"/>
      <c r="F48" s="67">
        <f>F46</f>
        <v>4816263.2</v>
      </c>
      <c r="G48" s="67">
        <f>G46</f>
        <v>172009.4</v>
      </c>
      <c r="H48" s="63">
        <v>0</v>
      </c>
      <c r="I48" s="63">
        <v>0</v>
      </c>
      <c r="J48" s="63"/>
      <c r="K48" s="63"/>
      <c r="L48" s="63"/>
      <c r="M48" s="63"/>
      <c r="N48" s="63"/>
      <c r="O48" s="63"/>
      <c r="P48" s="64">
        <f t="shared" si="15"/>
        <v>0</v>
      </c>
      <c r="Q48" s="64">
        <f t="shared" si="15"/>
        <v>0</v>
      </c>
      <c r="R48" s="64">
        <f t="shared" si="16"/>
        <v>4816263.2</v>
      </c>
      <c r="S48" s="65">
        <f t="shared" si="16"/>
        <v>172009.4</v>
      </c>
      <c r="T48" s="65"/>
    </row>
    <row r="49" ht="14.25" thickBot="1" thickTop="1">
      <c r="H49" s="54"/>
    </row>
    <row r="50" spans="3:20" ht="12.75">
      <c r="C50" s="112" t="s">
        <v>174</v>
      </c>
      <c r="D50" s="113"/>
      <c r="E50" s="114">
        <f aca="true" t="shared" si="18" ref="E50:M50">SUM(E12+E20+E28+E36)</f>
        <v>1234000</v>
      </c>
      <c r="F50" s="114">
        <f t="shared" si="18"/>
        <v>1233792</v>
      </c>
      <c r="G50" s="114">
        <f t="shared" si="18"/>
        <v>44064</v>
      </c>
      <c r="H50" s="114">
        <f t="shared" si="18"/>
        <v>0</v>
      </c>
      <c r="I50" s="114">
        <f t="shared" si="18"/>
        <v>0</v>
      </c>
      <c r="J50" s="114">
        <f t="shared" si="18"/>
        <v>0</v>
      </c>
      <c r="K50" s="114">
        <f t="shared" si="18"/>
        <v>0</v>
      </c>
      <c r="L50" s="114">
        <f t="shared" si="18"/>
        <v>0</v>
      </c>
      <c r="M50" s="114">
        <f t="shared" si="18"/>
        <v>0</v>
      </c>
      <c r="N50" s="115"/>
      <c r="O50" s="115"/>
      <c r="P50" s="114">
        <f>SUM(H50+J50+L50)</f>
        <v>0</v>
      </c>
      <c r="Q50" s="114">
        <f>SUM(Q12+Q20+Q28+Q36)</f>
        <v>0</v>
      </c>
      <c r="R50" s="114">
        <f>SUM(R12+R20+R28+R36)</f>
        <v>1233792</v>
      </c>
      <c r="S50" s="114">
        <f>SUM(S12+S20+S28+S36)</f>
        <v>44064</v>
      </c>
      <c r="T50" s="116">
        <f>SUM(E50-P50)</f>
        <v>1234000</v>
      </c>
    </row>
    <row r="51" spans="3:20" ht="13.5" thickBot="1">
      <c r="C51" s="117" t="s">
        <v>175</v>
      </c>
      <c r="D51" s="118"/>
      <c r="E51" s="119">
        <f>SUM(E44)</f>
        <v>4433000</v>
      </c>
      <c r="F51" s="119">
        <f aca="true" t="shared" si="19" ref="F51:T51">SUM(F44)</f>
        <v>4432400</v>
      </c>
      <c r="G51" s="119">
        <f t="shared" si="19"/>
        <v>158300</v>
      </c>
      <c r="H51" s="119">
        <f t="shared" si="19"/>
        <v>0</v>
      </c>
      <c r="I51" s="119">
        <f t="shared" si="19"/>
        <v>0</v>
      </c>
      <c r="J51" s="119">
        <f t="shared" si="19"/>
        <v>0</v>
      </c>
      <c r="K51" s="119">
        <f t="shared" si="19"/>
        <v>0</v>
      </c>
      <c r="L51" s="119">
        <f t="shared" si="19"/>
        <v>0</v>
      </c>
      <c r="M51" s="119">
        <f t="shared" si="19"/>
        <v>0</v>
      </c>
      <c r="N51" s="119">
        <f t="shared" si="19"/>
        <v>0</v>
      </c>
      <c r="O51" s="119">
        <f t="shared" si="19"/>
        <v>0</v>
      </c>
      <c r="P51" s="119">
        <f t="shared" si="19"/>
        <v>0</v>
      </c>
      <c r="Q51" s="119">
        <f t="shared" si="19"/>
        <v>0</v>
      </c>
      <c r="R51" s="119">
        <f t="shared" si="19"/>
        <v>4432400</v>
      </c>
      <c r="S51" s="119">
        <f t="shared" si="19"/>
        <v>158300</v>
      </c>
      <c r="T51" s="120">
        <f t="shared" si="19"/>
        <v>4433000</v>
      </c>
    </row>
  </sheetData>
  <sheetProtection/>
  <mergeCells count="29">
    <mergeCell ref="C50:D50"/>
    <mergeCell ref="C51:D51"/>
    <mergeCell ref="B5:B12"/>
    <mergeCell ref="E2:E4"/>
    <mergeCell ref="B47:D47"/>
    <mergeCell ref="B13:B20"/>
    <mergeCell ref="B21:B28"/>
    <mergeCell ref="B29:B36"/>
    <mergeCell ref="B37:B44"/>
    <mergeCell ref="B45:D45"/>
    <mergeCell ref="B46:D46"/>
    <mergeCell ref="Q2:Q4"/>
    <mergeCell ref="H3:I3"/>
    <mergeCell ref="J3:K3"/>
    <mergeCell ref="L3:M3"/>
    <mergeCell ref="N3:O3"/>
    <mergeCell ref="R2:S2"/>
    <mergeCell ref="R3:R4"/>
    <mergeCell ref="S3:S4"/>
    <mergeCell ref="T2:T4"/>
    <mergeCell ref="F3:F4"/>
    <mergeCell ref="G3:G4"/>
    <mergeCell ref="F2:G2"/>
    <mergeCell ref="B48:D48"/>
    <mergeCell ref="B1:R1"/>
    <mergeCell ref="C2:C4"/>
    <mergeCell ref="D2:D4"/>
    <mergeCell ref="H2:O2"/>
    <mergeCell ref="P2:P4"/>
  </mergeCells>
  <printOptions/>
  <pageMargins left="0.17" right="0.16" top="0.7874015748031497" bottom="0.7874015748031497" header="0.31496062992125984" footer="0.31496062992125984"/>
  <pageSetup fitToHeight="1" fitToWidth="1" horizontalDpi="600" verticalDpi="600" orientation="landscape" paperSize="9" scale="53" r:id="rId1"/>
  <ignoredErrors>
    <ignoredError sqref="C29:C35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Čejková</dc:creator>
  <cp:keywords/>
  <dc:description/>
  <cp:lastModifiedBy>Erika Čejková</cp:lastModifiedBy>
  <cp:lastPrinted>2011-01-26T07:18:00Z</cp:lastPrinted>
  <dcterms:created xsi:type="dcterms:W3CDTF">2009-08-31T08:06:55Z</dcterms:created>
  <dcterms:modified xsi:type="dcterms:W3CDTF">2011-02-09T08:54:03Z</dcterms:modified>
  <cp:category/>
  <cp:version/>
  <cp:contentType/>
  <cp:contentStatus/>
</cp:coreProperties>
</file>